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EstaPastaDeTrabalho"/>
  <bookViews>
    <workbookView windowWidth="19890" windowHeight="8370" tabRatio="857"/>
  </bookViews>
  <sheets>
    <sheet name="PB III - Orçamento Sintetico" sheetId="1" r:id="rId1"/>
    <sheet name="PB IV - Cronograma" sheetId="5" r:id="rId2"/>
    <sheet name="PB VIII - Composições Auxilia" sheetId="3" r:id="rId3"/>
    <sheet name="PB VI - Memorial" sheetId="7" r:id="rId4"/>
    <sheet name="PB V - CURVA ABC" sheetId="15" r:id="rId5"/>
    <sheet name="PB VII - Cotação" sheetId="10" r:id="rId6"/>
    <sheet name="PB IX - BDI" sheetId="9" r:id="rId7"/>
    <sheet name="PB IX - BDI dif." sheetId="12" r:id="rId8"/>
    <sheet name="PB IX - Enc. Sociais" sheetId="11" r:id="rId9"/>
  </sheets>
  <definedNames>
    <definedName name="_xlnm._FilterDatabase" localSheetId="4" hidden="1">'PB V - CURVA ABC'!$C$8:$H$416</definedName>
    <definedName name="_xlnm.Print_Area" localSheetId="0">'PB III - Orçamento Sintetico'!$A$2:$G$427</definedName>
    <definedName name="_xlnm.Print_Area" localSheetId="1">'PB IV - Cronograma'!$A$1:$J$92</definedName>
    <definedName name="_xlnm.Print_Area" localSheetId="6">'PB IX - BDI'!$A$1:$I$53</definedName>
    <definedName name="_xlnm.Print_Area" localSheetId="7">'PB IX - BDI dif.'!$A$1:$I$52</definedName>
    <definedName name="_xlnm.Print_Area" localSheetId="8">'PB IX - Enc. Sociais'!$A$1:$D$44</definedName>
    <definedName name="_xlnm.Print_Area" localSheetId="4">'PB V - CURVA ABC'!$C$1:$K$245</definedName>
    <definedName name="_xlnm.Print_Area" localSheetId="3">'PB VI - Memorial'!$A$1:$G$660</definedName>
    <definedName name="_xlnm.Print_Area" localSheetId="2">'PB VIII - Composições Auxilia'!$A$1:$F$401</definedName>
    <definedName name="_xlnm.Print_Titles" localSheetId="0">'PB III - Orçamento Sintetico'!$2:$9</definedName>
    <definedName name="_xlnm.Print_Titles" localSheetId="1">'PB IV - Cronograma'!$1:$4</definedName>
    <definedName name="_xlnm.Print_Titles" localSheetId="3">'PB VI - Memorial'!$1:$4</definedName>
    <definedName name="_xlnm.Print_Titles" localSheetId="2">'PB VIII - Composições Auxilia'!$1:$6</definedName>
  </definedNames>
  <calcPr calcId="144525"/>
</workbook>
</file>

<file path=xl/sharedStrings.xml><?xml version="1.0" encoding="utf-8"?>
<sst xmlns="http://schemas.openxmlformats.org/spreadsheetml/2006/main" count="1630">
  <si>
    <t>ANEXO PB III - PLANILHA DE ORÇAMENTO SINTÉTICO</t>
  </si>
  <si>
    <t>OBRA: CONSTRUÇÃO DA SEDE DA DEFENSORIA PÚBLICA DO ESTADO DE RORAIMA NO MUNICIPIO DE ALTO ALEGRE - DPE/RR</t>
  </si>
  <si>
    <t>BASE: SINAPI RR JUNHO/2017 DESONERADO</t>
  </si>
  <si>
    <t xml:space="preserve">Prazo = 210 Dias </t>
  </si>
  <si>
    <t>CÓDIGO</t>
  </si>
  <si>
    <t>ITEM</t>
  </si>
  <si>
    <t>DESCRIMINAÇÃO DOS SERVIÇOS</t>
  </si>
  <si>
    <t>UND.</t>
  </si>
  <si>
    <t>QUANT.</t>
  </si>
  <si>
    <t>P.UNIT.</t>
  </si>
  <si>
    <t>P.TOTAL</t>
  </si>
  <si>
    <t>SERVIÇOS PRELIMINARES</t>
  </si>
  <si>
    <t>1.1</t>
  </si>
  <si>
    <t>ITENS INICIAIS</t>
  </si>
  <si>
    <t>73859/002</t>
  </si>
  <si>
    <t>1.1.1</t>
  </si>
  <si>
    <t>Limpeza do Terreno (capina manual) , considerando 10,00m além do contorno da edificação existente e da parte a ser ampliada</t>
  </si>
  <si>
    <t>m2</t>
  </si>
  <si>
    <t>COMP. 01 - DPE</t>
  </si>
  <si>
    <t>1.1.2</t>
  </si>
  <si>
    <t>Remoção de Árvores</t>
  </si>
  <si>
    <t>und</t>
  </si>
  <si>
    <t>74077/002</t>
  </si>
  <si>
    <t>1.1.3</t>
  </si>
  <si>
    <t xml:space="preserve">Serviços de Locação da obra </t>
  </si>
  <si>
    <t>1.2</t>
  </si>
  <si>
    <t>CANTEIRO DE OBRA</t>
  </si>
  <si>
    <t>74209/001</t>
  </si>
  <si>
    <t>1.2.1</t>
  </si>
  <si>
    <t>Placa de obra em chapa de aço galvanizado, padrão repassado Defensoria Publica de Roraima e conforme especificações técnicas.</t>
  </si>
  <si>
    <t>1.2.2</t>
  </si>
  <si>
    <t>Banheiro Provisorio</t>
  </si>
  <si>
    <t>93207</t>
  </si>
  <si>
    <t>1.2.3</t>
  </si>
  <si>
    <t>Escritorio Provisorio</t>
  </si>
  <si>
    <t>1.2.4</t>
  </si>
  <si>
    <t>Refeitorio Provisorio</t>
  </si>
  <si>
    <t>1.2.5</t>
  </si>
  <si>
    <t xml:space="preserve">Almoxarifado (m²)      </t>
  </si>
  <si>
    <t>1.2.6</t>
  </si>
  <si>
    <t xml:space="preserve">Vestiário (m²) </t>
  </si>
  <si>
    <t>1.2.7</t>
  </si>
  <si>
    <t xml:space="preserve">Galpão para Carpintaria </t>
  </si>
  <si>
    <t>1.2.8</t>
  </si>
  <si>
    <t xml:space="preserve">Galpão para Armação de Ferros </t>
  </si>
  <si>
    <t>1.2.9</t>
  </si>
  <si>
    <t>Ligação Provisoria de Água</t>
  </si>
  <si>
    <t>1.2.10</t>
  </si>
  <si>
    <t>Ligação Provisoria de Energia</t>
  </si>
  <si>
    <t>DEMOLIÇÃO/RETIRADA</t>
  </si>
  <si>
    <t>COMP. 02 - DPE</t>
  </si>
  <si>
    <t>2.1</t>
  </si>
  <si>
    <t>Demolição de Forro de madeira</t>
  </si>
  <si>
    <t>73899/002</t>
  </si>
  <si>
    <t>2.2</t>
  </si>
  <si>
    <t>Demolição de Alvenaria</t>
  </si>
  <si>
    <t>m3</t>
  </si>
  <si>
    <t>2.3</t>
  </si>
  <si>
    <t>Retirada de Aparelhos Sanitarios (VASO SANITÁRIO)</t>
  </si>
  <si>
    <t>2.4</t>
  </si>
  <si>
    <t>Retirada de Aparelhos Sanitarios (PIA)</t>
  </si>
  <si>
    <t>COMP. 03 - DPE</t>
  </si>
  <si>
    <t>2.5</t>
  </si>
  <si>
    <t>Remoção de Porta e Batente</t>
  </si>
  <si>
    <t>COMP. 04 - DPE</t>
  </si>
  <si>
    <t>2.6</t>
  </si>
  <si>
    <t>Retirada de estrutura de sustentação e cobertura</t>
  </si>
  <si>
    <t>73801/001</t>
  </si>
  <si>
    <t>2.7</t>
  </si>
  <si>
    <t>Demolição de Piso</t>
  </si>
  <si>
    <t>MURO</t>
  </si>
  <si>
    <t>DEMOLIÇÃO DE MURO EXISTENTE</t>
  </si>
  <si>
    <t>3.1</t>
  </si>
  <si>
    <t>Alvenaria</t>
  </si>
  <si>
    <t>3.2</t>
  </si>
  <si>
    <t>Demolição de Concreto</t>
  </si>
  <si>
    <t>COMP. 05 - DPE</t>
  </si>
  <si>
    <t>3.3</t>
  </si>
  <si>
    <t>Remoção de grades de ferros</t>
  </si>
  <si>
    <t>ESCAVAÇAO</t>
  </si>
  <si>
    <t>3.4</t>
  </si>
  <si>
    <t>Escavação manual de valas profundidade 50cm para fundação em alicerce concreto ciclópico</t>
  </si>
  <si>
    <t>73964/06</t>
  </si>
  <si>
    <t>3.5</t>
  </si>
  <si>
    <t>Reaterro manual das valas, com compactação em camadas de 20cm</t>
  </si>
  <si>
    <t>INFRAESTRUTURA</t>
  </si>
  <si>
    <t>3.6</t>
  </si>
  <si>
    <t>Alicerce em concreto ciclópico FCK 10MPa com 30% pedra de mão, incluindo transporte e lançamento</t>
  </si>
  <si>
    <t>3.7</t>
  </si>
  <si>
    <t>Concreto FCK 20MPa p/ BALDRAME 20x20cm</t>
  </si>
  <si>
    <t>92873</t>
  </si>
  <si>
    <t>3.8</t>
  </si>
  <si>
    <t>Lançamento e adensamento concreto</t>
  </si>
  <si>
    <t>3.9</t>
  </si>
  <si>
    <t>Aço CA-50 8mm p/ viga baldrame - corte, dobra e colocação</t>
  </si>
  <si>
    <t>kg</t>
  </si>
  <si>
    <t>3.10</t>
  </si>
  <si>
    <t>Aço CA-60 5mm p/ viga baldrame - corte, dobra e colocação</t>
  </si>
  <si>
    <t>3.11</t>
  </si>
  <si>
    <t>Forma tábua p/ viga baldrame c/ reaproveitamento 5x - incluso montagem e desmontagem</t>
  </si>
  <si>
    <t>PILARES 20X20CM P/ MURO</t>
  </si>
  <si>
    <t>3.12</t>
  </si>
  <si>
    <t>Concreto FCK 20MPa p/ pilares 20x20cm</t>
  </si>
  <si>
    <t>3.13</t>
  </si>
  <si>
    <t>3.14</t>
  </si>
  <si>
    <t>Aço CA-50 10mm - corte, dobra e colocação - Pilares</t>
  </si>
  <si>
    <t>3.15</t>
  </si>
  <si>
    <t>Aço CA-60 5mm - corte, dobra e colocação - Pilares</t>
  </si>
  <si>
    <t>3.16</t>
  </si>
  <si>
    <t>Forma de tábua para pilares c/ 4 utilizações, incluindo serviços de escoramento, montagem e desmontagem</t>
  </si>
  <si>
    <t>REVESTIMENTO</t>
  </si>
  <si>
    <t>3.17</t>
  </si>
  <si>
    <t>Alvenaria de 1/2 vez p/ muro 2,20m e mureta 0,50m - bloco cerâmico 9x14x19cm, assentado em argamassa 1:3, com preparo em betoneira</t>
  </si>
  <si>
    <t>3.18</t>
  </si>
  <si>
    <t>Chapisco em alvenaria, vigas e pilares, traço 1:3, espessura 0,5 cm, com preparo em betoneira</t>
  </si>
  <si>
    <t>3.19</t>
  </si>
  <si>
    <t>Reboco tipo paulista(massa única), para recebimento de pintura, traço 1:2:8 (cimento/cal/areia) em alvenaria, vigas e pilares, espessura=2 cm, preparo em betoneira (APENAS NOS LADOS QUE DÃO ACESSO ÀS RUAS)</t>
  </si>
  <si>
    <t>88631 + 40675</t>
  </si>
  <si>
    <t>3.20</t>
  </si>
  <si>
    <t>Pingadeira em concreto pré-moldado espessura 3cm, largura 25cm. Incluso material e assentamento</t>
  </si>
  <si>
    <t>m</t>
  </si>
  <si>
    <t>PINTURA</t>
  </si>
  <si>
    <t>88485</t>
  </si>
  <si>
    <t>3.21</t>
  </si>
  <si>
    <t xml:space="preserve">Aplicação de Fundo selador acrílico em paredes, uma demão </t>
  </si>
  <si>
    <t>88489</t>
  </si>
  <si>
    <t>3.22</t>
  </si>
  <si>
    <t>Aplicação manual de pintura com tinta acrílica em paredes, duas demãos (COR APROVADA pela fiscalização)</t>
  </si>
  <si>
    <t>MOVIMENTO DE TERRA</t>
  </si>
  <si>
    <t>93358</t>
  </si>
  <si>
    <t>4.1</t>
  </si>
  <si>
    <t>Escavação manual para execução de SAPATAS EM CONCRETO ARMADO</t>
  </si>
  <si>
    <t>73964/006</t>
  </si>
  <si>
    <t>4.2</t>
  </si>
  <si>
    <t>Reaterro manual com apiloamento mecânico</t>
  </si>
  <si>
    <t>5</t>
  </si>
  <si>
    <t>INFRA E SUPERESTRUTURA</t>
  </si>
  <si>
    <t>5.1</t>
  </si>
  <si>
    <t>Sapatas em concreto armado, fck 25MPa, incluindo arranques de pilares</t>
  </si>
  <si>
    <t>94965</t>
  </si>
  <si>
    <t>5.1.1</t>
  </si>
  <si>
    <t xml:space="preserve">Concreto fck 25MPa </t>
  </si>
  <si>
    <t>5.1.2</t>
  </si>
  <si>
    <t>Lançamento / Adensamento e Acabamento</t>
  </si>
  <si>
    <t>5651</t>
  </si>
  <si>
    <t>5.1.3</t>
  </si>
  <si>
    <t>Forma para fundação</t>
  </si>
  <si>
    <t>5.1.4</t>
  </si>
  <si>
    <t>Aço CA50A – 6,3</t>
  </si>
  <si>
    <t>92917</t>
  </si>
  <si>
    <t>5.1.5</t>
  </si>
  <si>
    <t>Aço CA50A – 8,0</t>
  </si>
  <si>
    <t>92919</t>
  </si>
  <si>
    <t>5.1.6</t>
  </si>
  <si>
    <t>Aço CA50A – 10,0</t>
  </si>
  <si>
    <t>92921</t>
  </si>
  <si>
    <t>5.1.7</t>
  </si>
  <si>
    <t>Aço CA50A – 12,5</t>
  </si>
  <si>
    <t>92915</t>
  </si>
  <si>
    <t>5.1.8</t>
  </si>
  <si>
    <t>Aço CA60A</t>
  </si>
  <si>
    <t>95241</t>
  </si>
  <si>
    <t>5.1.9</t>
  </si>
  <si>
    <t>Lastro de Concreto, E=5cm preparo mecânico, incluso lançamento e adensamento</t>
  </si>
  <si>
    <t>5.2</t>
  </si>
  <si>
    <t>Vigas baldrame em concreto armado fck 25MPa , conforme se segue:</t>
  </si>
  <si>
    <t>5.2.1</t>
  </si>
  <si>
    <t>Concreto fck 25MPa</t>
  </si>
  <si>
    <t>5.2.2</t>
  </si>
  <si>
    <t>5.2.3</t>
  </si>
  <si>
    <t>Fabricação de forma</t>
  </si>
  <si>
    <t>92776</t>
  </si>
  <si>
    <t>5.2.4</t>
  </si>
  <si>
    <t>Aço CA50A  - 6,3</t>
  </si>
  <si>
    <t>92777</t>
  </si>
  <si>
    <t>5.2.5</t>
  </si>
  <si>
    <t>Aço CA50A  - 8,0</t>
  </si>
  <si>
    <t>92778</t>
  </si>
  <si>
    <t>5.2.6</t>
  </si>
  <si>
    <t>Aço CA50A  - 10,0</t>
  </si>
  <si>
    <t>92775</t>
  </si>
  <si>
    <t>5.2.7</t>
  </si>
  <si>
    <t>Aço CA60A – 5,0</t>
  </si>
  <si>
    <t>74106/001</t>
  </si>
  <si>
    <t>5.2.8</t>
  </si>
  <si>
    <t>Impermeabilização de estruturas enterradas, com tinta asfáltica duas demãos</t>
  </si>
  <si>
    <t>SUPERESTRUTURA</t>
  </si>
  <si>
    <t>5.3</t>
  </si>
  <si>
    <t>Pilares em concreto armado, fck 25MPa , sendo:</t>
  </si>
  <si>
    <t>5.3.1</t>
  </si>
  <si>
    <t>5.3.2</t>
  </si>
  <si>
    <t>92418</t>
  </si>
  <si>
    <t>5.3.3</t>
  </si>
  <si>
    <t>Montagem de forma</t>
  </si>
  <si>
    <t>5.3.4</t>
  </si>
  <si>
    <t>Aço CA50A – 10</t>
  </si>
  <si>
    <t>92779</t>
  </si>
  <si>
    <t>5.3.5</t>
  </si>
  <si>
    <t>5.3.6</t>
  </si>
  <si>
    <t>5.4</t>
  </si>
  <si>
    <t>Vigas em concreto armado fck 25MPa , conforme se segue:</t>
  </si>
  <si>
    <t>5.4.1</t>
  </si>
  <si>
    <t>5.4.2</t>
  </si>
  <si>
    <t>92448</t>
  </si>
  <si>
    <t>5.4.3</t>
  </si>
  <si>
    <t>5.4.4</t>
  </si>
  <si>
    <t>5.4.5</t>
  </si>
  <si>
    <t>5.4.6</t>
  </si>
  <si>
    <t>5.4.7</t>
  </si>
  <si>
    <t>5.5</t>
  </si>
  <si>
    <t>Lajes Cobertura</t>
  </si>
  <si>
    <t>5.5.1</t>
  </si>
  <si>
    <t>5.5.2</t>
  </si>
  <si>
    <t>92513</t>
  </si>
  <si>
    <t>5.5.3</t>
  </si>
  <si>
    <t>92785</t>
  </si>
  <si>
    <t>5.5.4</t>
  </si>
  <si>
    <t>92786</t>
  </si>
  <si>
    <t>5.5.5</t>
  </si>
  <si>
    <t>92787</t>
  </si>
  <si>
    <t>5.5.6</t>
  </si>
  <si>
    <t>92788</t>
  </si>
  <si>
    <t>5.5.7</t>
  </si>
  <si>
    <t>92784</t>
  </si>
  <si>
    <t>5.5.8</t>
  </si>
  <si>
    <t>5.6</t>
  </si>
  <si>
    <t>Pilar do Reservatorio</t>
  </si>
  <si>
    <t>5.6.1</t>
  </si>
  <si>
    <t>5.6.2</t>
  </si>
  <si>
    <t>5.6.3</t>
  </si>
  <si>
    <t>5.6.4</t>
  </si>
  <si>
    <t>Aço CA50A -10,0</t>
  </si>
  <si>
    <t>5.6.5</t>
  </si>
  <si>
    <t>5.7</t>
  </si>
  <si>
    <t>Vigas Reservatorio</t>
  </si>
  <si>
    <t>5.7.1</t>
  </si>
  <si>
    <t>5.7.2</t>
  </si>
  <si>
    <t>5.7.3</t>
  </si>
  <si>
    <t>5.7.4</t>
  </si>
  <si>
    <t>5.7.5</t>
  </si>
  <si>
    <t>5.8</t>
  </si>
  <si>
    <t>Lajes da Reservatorio, incluindo impermeabilização:</t>
  </si>
  <si>
    <t>5.8.1</t>
  </si>
  <si>
    <t>5.8.2</t>
  </si>
  <si>
    <t>5.8.3</t>
  </si>
  <si>
    <t>5.8.4</t>
  </si>
  <si>
    <t>5.8.5</t>
  </si>
  <si>
    <t>5.8.6</t>
  </si>
  <si>
    <t>83731 + 6225</t>
  </si>
  <si>
    <t>5.8.7</t>
  </si>
  <si>
    <t>Impermeabilização de laje em concreto armado, utilizando argamassa de cimento + areia , traço 1:3 com adição de sika 1 ( proporção 1:8) , espessura mínima de 3,0cm , com inclinação transversal de 3 cm , para cada lateral , partindo-se  do eixo longitudinal . Considerar ainda pintura com emulsão asfáltica ( IGOL S da Sika ou Neutrol ou similar ) em no mínimo duas demãos.</t>
  </si>
  <si>
    <t>PAVIMENTAÇÕES</t>
  </si>
  <si>
    <t>006081</t>
  </si>
  <si>
    <t>6.1</t>
  </si>
  <si>
    <t>Material para aterro</t>
  </si>
  <si>
    <t>6.2</t>
  </si>
  <si>
    <t>Espalhamento e Compactação de Aterro</t>
  </si>
  <si>
    <t>83534</t>
  </si>
  <si>
    <t>6.3</t>
  </si>
  <si>
    <r>
      <rPr>
        <sz val="11"/>
        <color theme="1"/>
        <charset val="134"/>
      </rPr>
      <t xml:space="preserve">Lastro em concreto simples , 1:3:5 , </t>
    </r>
    <r>
      <rPr>
        <b/>
        <sz val="11"/>
        <color theme="1"/>
        <rFont val="Calibri"/>
        <charset val="134"/>
      </rPr>
      <t>com adição de impermeabilizante</t>
    </r>
    <r>
      <rPr>
        <sz val="11"/>
        <color theme="1"/>
        <charset val="134"/>
      </rPr>
      <t>, espessura de 10cm – para a ser ampliada</t>
    </r>
  </si>
  <si>
    <t>94439</t>
  </si>
  <si>
    <t>6.4</t>
  </si>
  <si>
    <t>CONTRAPISO EM ARGAMASSA TRACO 1:4 (CIMENTO E AREIA), INTERNO – parte existente e a ampliar</t>
  </si>
  <si>
    <t>87261</t>
  </si>
  <si>
    <t>6.5</t>
  </si>
  <si>
    <t>Porcelanato 60X60cm , assentamento e rejuntamento área MENOR que 5m²</t>
  </si>
  <si>
    <t>87262</t>
  </si>
  <si>
    <t>6.6</t>
  </si>
  <si>
    <t>Porcelanato 60X60cm , assentamento e rejuntamento área ENTRE 5m² e 10m²</t>
  </si>
  <si>
    <t>87263</t>
  </si>
  <si>
    <t>6.7</t>
  </si>
  <si>
    <t>Porcelanato 60X60cm , assentamento e rejuntamento área MAIOR que 10m²</t>
  </si>
  <si>
    <t>Piso Auditorio nivel maior</t>
  </si>
  <si>
    <t>6.8</t>
  </si>
  <si>
    <t>6.9</t>
  </si>
  <si>
    <t>6.10</t>
  </si>
  <si>
    <t>6.11</t>
  </si>
  <si>
    <t>6.12</t>
  </si>
  <si>
    <t>Piso cerâmico 60X60cm , assentamento e rejuntamento área ENTRE 5m² e 10m²</t>
  </si>
  <si>
    <t>ALVENARIA/DIVISORIA</t>
  </si>
  <si>
    <t>7.1</t>
  </si>
  <si>
    <t>Alvenaria de vedação de blocos cerâmicos furados 9x14x19cm, espessura 14cm, assentado com argamassa de cimento e areia, preparo mecânico em betoneira</t>
  </si>
  <si>
    <t>7.2</t>
  </si>
  <si>
    <t>Divisoria de granito Banheiro</t>
  </si>
  <si>
    <t>7.3</t>
  </si>
  <si>
    <t>Encunhamento</t>
  </si>
  <si>
    <t>REVESTIMENTOS</t>
  </si>
  <si>
    <t>8.1</t>
  </si>
  <si>
    <t>Chapisco aplicado em alvenarias, argamassa traço 1:3 (cimento e areia), aplicado com colher de pedreiro Interna</t>
  </si>
  <si>
    <t>8.2</t>
  </si>
  <si>
    <t>Chapisco aplicado em alvenarias, argamassa traço 1:3 (cimento e areia), aplicado com colher de pedreiro Externa</t>
  </si>
  <si>
    <t>8.3</t>
  </si>
  <si>
    <t>Reboco massa única em alvenaria, vigas e pilares, espessura 20mm, aplicação manual com execução de taliscas, com uso de argamassa cimento, areia e aditivo plastificante</t>
  </si>
  <si>
    <t>8.4</t>
  </si>
  <si>
    <t>Pastilha Banheiro 10x10 PNE cor branco seguindo o modelo das existentes</t>
  </si>
  <si>
    <t>8.5</t>
  </si>
  <si>
    <t>Revestimento em parede até 1,00m - paredes externas</t>
  </si>
  <si>
    <t>PINTURAS</t>
  </si>
  <si>
    <t>9.1</t>
  </si>
  <si>
    <t>9.2</t>
  </si>
  <si>
    <t>Aplicação e lixamento de massa látex em paredes, duas demãos.</t>
  </si>
  <si>
    <t>9.3</t>
  </si>
  <si>
    <t>ESQUADRIAS / VERGA / CONTRAVERGA / FECHADURA</t>
  </si>
  <si>
    <t>I</t>
  </si>
  <si>
    <t>PORTAS</t>
  </si>
  <si>
    <t>10.1</t>
  </si>
  <si>
    <t>Tipo P 01  - 0,80x2,10m -tipo abrir ,em madeira revestida em laminado melamínico, com ferragens e fechadura</t>
  </si>
  <si>
    <t>10.2</t>
  </si>
  <si>
    <t>Tipo P 02  - 0,90x2,10m -tipo abrir ,em madeira revestida em laminado melamínico, com ferragens e fechadura</t>
  </si>
  <si>
    <t>COMP. 06 - DPE</t>
  </si>
  <si>
    <t>10.3</t>
  </si>
  <si>
    <t>Tipo P 03  - 1,60x2,10m -tipo abrir ,em madeira revestida em laminado melamínico, com ferragens e fechadura</t>
  </si>
  <si>
    <t>COMP. 07-DPE</t>
  </si>
  <si>
    <t>10.4</t>
  </si>
  <si>
    <t>Tipo P 04 - Porta de Vidro entrada principal</t>
  </si>
  <si>
    <t>91341</t>
  </si>
  <si>
    <t>10.5</t>
  </si>
  <si>
    <t>Tipo P 05 - Porta Aluminio Banheiro Masculino e Feminino</t>
  </si>
  <si>
    <t>73933/003</t>
  </si>
  <si>
    <t>10.6</t>
  </si>
  <si>
    <t>Tipo P 06 - Porta de Ferro tipo Veneziana</t>
  </si>
  <si>
    <t>93188</t>
  </si>
  <si>
    <t>10.7</t>
  </si>
  <si>
    <t>Verga moldada in loco em concreto para portas com até 1,5m de vão</t>
  </si>
  <si>
    <t>93189</t>
  </si>
  <si>
    <t>10.8</t>
  </si>
  <si>
    <t>Verga moldada in loco em concreto para portas maior que 1,5m de vão</t>
  </si>
  <si>
    <t>II</t>
  </si>
  <si>
    <t>JANELAS</t>
  </si>
  <si>
    <t>10.9</t>
  </si>
  <si>
    <t>Janela J1</t>
  </si>
  <si>
    <t>10.10</t>
  </si>
  <si>
    <t>Janela J2</t>
  </si>
  <si>
    <t>10.11</t>
  </si>
  <si>
    <t>Janela J3</t>
  </si>
  <si>
    <t>10.12</t>
  </si>
  <si>
    <t>Janela J4</t>
  </si>
  <si>
    <t>10.13</t>
  </si>
  <si>
    <t>Verga moldada in loco em concreto para janelas com até 1,5m de vão</t>
  </si>
  <si>
    <t>10.14</t>
  </si>
  <si>
    <t>Verga moldada in loco em concreto para janelas maior que 1,5m de vão</t>
  </si>
  <si>
    <t>10.15</t>
  </si>
  <si>
    <t>Contraverga moldada in loco em concreto para janelas com até 1,5m de vão</t>
  </si>
  <si>
    <t>10.16</t>
  </si>
  <si>
    <t>Contraverga moldada in loco em concreto para janelas maior que 1,5m de vão</t>
  </si>
  <si>
    <t>11</t>
  </si>
  <si>
    <t>SOLEIRAS, PEITORIS e RODAPÉS</t>
  </si>
  <si>
    <t>84161</t>
  </si>
  <si>
    <t>11.1</t>
  </si>
  <si>
    <t>Soleira de granito espessura 2,5cm , larg. de 14cm</t>
  </si>
  <si>
    <t>84088</t>
  </si>
  <si>
    <t>11.2</t>
  </si>
  <si>
    <t>Peitoril de granito , espessura 2,50cm ,  larg.  18cm, em todas as janelas</t>
  </si>
  <si>
    <t>88649</t>
  </si>
  <si>
    <t>11.3</t>
  </si>
  <si>
    <t>Rodapé de cerâmica, altura de 7,0cm</t>
  </si>
  <si>
    <t>FORRO</t>
  </si>
  <si>
    <t>COMP. 08 - DPE</t>
  </si>
  <si>
    <t>12.1</t>
  </si>
  <si>
    <t>Forro em modular em pvc 60x120cm, fixação em estrutura indempendente da estrutura da cobertura, caso necessário adotar junta conforme ABNT NBR especifica</t>
  </si>
  <si>
    <t>COBERTURA</t>
  </si>
  <si>
    <t>13.1</t>
  </si>
  <si>
    <t>Estrutura Metalica para telhado em 2 águas para telha metalica</t>
  </si>
  <si>
    <t>13.2</t>
  </si>
  <si>
    <t>Telhamento com telha metalica trazapezoidal</t>
  </si>
  <si>
    <t>74145/001</t>
  </si>
  <si>
    <t>13.3</t>
  </si>
  <si>
    <t>Pintura Esmalte fosco, duas demãos, sobre superficie metalica, incluso um demão de fundo anticorrosivo</t>
  </si>
  <si>
    <t>COMP. 09 - DPE</t>
  </si>
  <si>
    <t>13.4</t>
  </si>
  <si>
    <t>Rufo de Concreto com 30 centimentos de largura</t>
  </si>
  <si>
    <t>13.5</t>
  </si>
  <si>
    <t>Cumeeira de telha metalica</t>
  </si>
  <si>
    <t>HIDRAULICO</t>
  </si>
  <si>
    <t>89356</t>
  </si>
  <si>
    <t>14.1</t>
  </si>
  <si>
    <t>Tubo PVC 25mm – tipo soldavel com acessorios</t>
  </si>
  <si>
    <t>89357</t>
  </si>
  <si>
    <t>14.2</t>
  </si>
  <si>
    <t>Tubo PVC 32mm – tipo soldavel com acessorios</t>
  </si>
  <si>
    <t>14.3</t>
  </si>
  <si>
    <t>Caixa D'água em poliestileno, 1000litros, com acessorios</t>
  </si>
  <si>
    <t>14.4</t>
  </si>
  <si>
    <t>Furo em Alvenaria para Diametro menores que 40mm</t>
  </si>
  <si>
    <t>14.5</t>
  </si>
  <si>
    <t>Chumbamento linear em alvenaria</t>
  </si>
  <si>
    <t>14.6</t>
  </si>
  <si>
    <t>Joelho</t>
  </si>
  <si>
    <t>14.7</t>
  </si>
  <si>
    <t>Tê 25mm</t>
  </si>
  <si>
    <t>14.8</t>
  </si>
  <si>
    <t>Tê 32mm</t>
  </si>
  <si>
    <t>Alimentação</t>
  </si>
  <si>
    <t>14.9</t>
  </si>
  <si>
    <t>Kit Cavalete para Medição de Água - Entrada Principal, em PVC, Fornecimento e Instalação</t>
  </si>
  <si>
    <t>14.10</t>
  </si>
  <si>
    <t>Torneira de Boia Real, Roscável, 1/2", Fornecimento e instalação</t>
  </si>
  <si>
    <t>14.11</t>
  </si>
  <si>
    <t>73795/003</t>
  </si>
  <si>
    <t>14.12</t>
  </si>
  <si>
    <t>Válvula de retenção 32mm</t>
  </si>
  <si>
    <t>SANITARIO</t>
  </si>
  <si>
    <t>TUBOS</t>
  </si>
  <si>
    <t>89711</t>
  </si>
  <si>
    <t>15.1</t>
  </si>
  <si>
    <t>Tubo PVC esgoto 40mm – Ponta e Bolsa Lisa, inclusive conexões</t>
  </si>
  <si>
    <t>89712</t>
  </si>
  <si>
    <t>15.2</t>
  </si>
  <si>
    <t>Tubo PVC esgoto 50mm – Ponta e Bolsa Lisa, inclusive conexões</t>
  </si>
  <si>
    <t>89713</t>
  </si>
  <si>
    <t>15.3</t>
  </si>
  <si>
    <t>Tubo PVC esgoto 75mm – Ponta e Bolsa Lisa, inclusive conexões</t>
  </si>
  <si>
    <t>89714</t>
  </si>
  <si>
    <t>15.4</t>
  </si>
  <si>
    <t>Tubo PVC esgoto 100mm – Ponta e Bolsa Lisa, inclusive conexões</t>
  </si>
  <si>
    <t xml:space="preserve">CAIXAS SIFONADAS, CAIXAS DE GORDURA e CAIXAS DE  INSPEÇÃO </t>
  </si>
  <si>
    <t>15.5</t>
  </si>
  <si>
    <t>Caixa sifonado c/grelha quadrada</t>
  </si>
  <si>
    <t>74051/002</t>
  </si>
  <si>
    <t>15.6</t>
  </si>
  <si>
    <t>Caixa de gordura</t>
  </si>
  <si>
    <t>74104/001</t>
  </si>
  <si>
    <t>15.7</t>
  </si>
  <si>
    <t>Caixa de inspeção esgoto simples</t>
  </si>
  <si>
    <t>III</t>
  </si>
  <si>
    <t>ACESSORIOS</t>
  </si>
  <si>
    <t>0003670</t>
  </si>
  <si>
    <t>15.8</t>
  </si>
  <si>
    <t>Junção Simples 100x100mm</t>
  </si>
  <si>
    <t>10909</t>
  </si>
  <si>
    <t>15.9</t>
  </si>
  <si>
    <t>Junção Simples 100x75mm</t>
  </si>
  <si>
    <t>10908</t>
  </si>
  <si>
    <t>15.10</t>
  </si>
  <si>
    <t>Junção Simples 100x50mm</t>
  </si>
  <si>
    <t>1967</t>
  </si>
  <si>
    <t>15.11</t>
  </si>
  <si>
    <t>Curva 45º - 40mm</t>
  </si>
  <si>
    <t>10765</t>
  </si>
  <si>
    <t>15.12</t>
  </si>
  <si>
    <t>Curva 45º - 50mm</t>
  </si>
  <si>
    <t>1965</t>
  </si>
  <si>
    <t>15.13</t>
  </si>
  <si>
    <t>Curva 45º - 100mm</t>
  </si>
  <si>
    <t>37949</t>
  </si>
  <si>
    <t>15.14</t>
  </si>
  <si>
    <t>Joelho - 40mm</t>
  </si>
  <si>
    <t>03509</t>
  </si>
  <si>
    <t>15.15</t>
  </si>
  <si>
    <t>Joelho - 75mm</t>
  </si>
  <si>
    <t>3520</t>
  </si>
  <si>
    <t>15.16</t>
  </si>
  <si>
    <t>Joelho - 100mm</t>
  </si>
  <si>
    <t>IV</t>
  </si>
  <si>
    <t>VENTILAÇÃO</t>
  </si>
  <si>
    <t>15.17</t>
  </si>
  <si>
    <t>15.18</t>
  </si>
  <si>
    <t>3526</t>
  </si>
  <si>
    <t>15.19</t>
  </si>
  <si>
    <t>Joelho - 50mm</t>
  </si>
  <si>
    <t>11655</t>
  </si>
  <si>
    <t>15.20</t>
  </si>
  <si>
    <t>Te 100mm - 50mm</t>
  </si>
  <si>
    <t>15.21</t>
  </si>
  <si>
    <t>Te 50mm - 50mm</t>
  </si>
  <si>
    <t>LOUÇAS E METAIS</t>
  </si>
  <si>
    <t>86932</t>
  </si>
  <si>
    <t>16.1</t>
  </si>
  <si>
    <t xml:space="preserve">Vaso Sanitário Padrão médio, com Caixa Acoplada </t>
  </si>
  <si>
    <t>74234/001</t>
  </si>
  <si>
    <t>16.2</t>
  </si>
  <si>
    <t>Mictorio</t>
  </si>
  <si>
    <t>16.3</t>
  </si>
  <si>
    <t>Lavatorio padrão médio</t>
  </si>
  <si>
    <t>COMP. 10 - DPE</t>
  </si>
  <si>
    <t>16.4</t>
  </si>
  <si>
    <t>Lavatório para banheiro PNE , de coluna suspensa-completo com torneira em metal , tipo temporizada, para portadores de necessidades especiais, engate flexivel -malha de aço 1/2x40cm , sifão inox  , válvula universal  e 02 barras de apoio – inox diâmetro de 1 ¼” x40cm, inclusive buchas e parafusos de fixação</t>
  </si>
  <si>
    <t>COMP. 11 - DPE</t>
  </si>
  <si>
    <t>16.5</t>
  </si>
  <si>
    <t>VASO SANITÁRIO com caixa acoplada, para banheiro PNE, completo com 02 barras de apoio, assento plastico, engate flexível malha de aço – 1/2x40cm e parafusos de fixação .</t>
  </si>
  <si>
    <t>16.6</t>
  </si>
  <si>
    <t>Papeleira inox – uma em cada box de vaso sanitário e nos lavatorios</t>
  </si>
  <si>
    <t>16.7</t>
  </si>
  <si>
    <t>Saboneteira para sabão líquido Plastico capac 1000ml  completa - 01 unidade para cada LAVATÓRIO , 01 para cada bancada de 02 cubas e 04 para cada bancada de 05 cubas.</t>
  </si>
  <si>
    <t>16.8</t>
  </si>
  <si>
    <t>Espelho cristal, espessura 4mm, com parafusos de fixação, sem moldura, 50X50cm</t>
  </si>
  <si>
    <t>16.9</t>
  </si>
  <si>
    <t>Bancada de Granito Cinza polido para pia de cozinha 1,5mx0,6m, fornecimento e instalação</t>
  </si>
  <si>
    <t>16.10</t>
  </si>
  <si>
    <t>Torneira Cromada tubo móvel, de mesa, 1/2" ou 3/4", para pia de cozinha, padrão médio</t>
  </si>
  <si>
    <t>DRENAGEM/ÁGUAS PLUVIAIS</t>
  </si>
  <si>
    <t>ÁGUAS PLUVIAIS</t>
  </si>
  <si>
    <t>83671</t>
  </si>
  <si>
    <t>17.1</t>
  </si>
  <si>
    <t>Tubo PVC 100mm – tipo soldavel com acessorios</t>
  </si>
  <si>
    <t>17.2</t>
  </si>
  <si>
    <t>Tubo PVC 150mm – Fornecimento e instalação</t>
  </si>
  <si>
    <t>17.3</t>
  </si>
  <si>
    <t>Tubo PVC 200mm – Fornecimento e instalação</t>
  </si>
  <si>
    <t>17.4</t>
  </si>
  <si>
    <t>Colchão de areia</t>
  </si>
  <si>
    <t>17.5</t>
  </si>
  <si>
    <t>M2</t>
  </si>
  <si>
    <t>17.6</t>
  </si>
  <si>
    <t>Chapisco</t>
  </si>
  <si>
    <t>COMP. 12 - DPE</t>
  </si>
  <si>
    <t>17.7</t>
  </si>
  <si>
    <t xml:space="preserve">CALHA QUADRADA DE CHAPA DE ACO GALVANIZADA NUM 24, CORTE 133 CM </t>
  </si>
  <si>
    <t>17.8</t>
  </si>
  <si>
    <t>Calha Beiral PVC semicircular em pvc, Diametro 125MM, incluindo acessorios para instalação e transporte vertical</t>
  </si>
  <si>
    <t>17.9</t>
  </si>
  <si>
    <t>Ralo abacaxi</t>
  </si>
  <si>
    <t>COMP. 13 - DPE</t>
  </si>
  <si>
    <t>17.10</t>
  </si>
  <si>
    <t>Caixa de Drenagem</t>
  </si>
  <si>
    <t>DRENAGEM AR-CONDICIONADOS</t>
  </si>
  <si>
    <t>17.11</t>
  </si>
  <si>
    <t>Tubo, PVC, Soldavel DN 25mm</t>
  </si>
  <si>
    <t>17.12</t>
  </si>
  <si>
    <t>Furo em Alvenaria para Diametro menores que 40mm tubulação</t>
  </si>
  <si>
    <t>17.13</t>
  </si>
  <si>
    <t>Chumbamento linear em alvenaria menores que 40mm tubulação</t>
  </si>
  <si>
    <t>INCÊNDIO</t>
  </si>
  <si>
    <t>18.1</t>
  </si>
  <si>
    <t>tipo S-3 (130/260MM) – material  PVC- 2mm – fotoluminescente</t>
  </si>
  <si>
    <t>18.2</t>
  </si>
  <si>
    <t>tipo S2-E (130/260MM) – material PVC - 2mm – fotoluminescente</t>
  </si>
  <si>
    <t>18.3</t>
  </si>
  <si>
    <t>tipo S2-D (130/260MM) – material PVC – 2mm – fotoluminescente</t>
  </si>
  <si>
    <t>18.4</t>
  </si>
  <si>
    <t>tipo E-17 (1000/1000MM)- PINTADA NO PISO com tinta epoxi, conforme detalhamento no respectivo projeto</t>
  </si>
  <si>
    <t>37557</t>
  </si>
  <si>
    <t>18.5</t>
  </si>
  <si>
    <t>tipo E-5 ( diâmetro 150MM) – material PVC – 2mm –fotoluminescente</t>
  </si>
  <si>
    <t>83635</t>
  </si>
  <si>
    <t>18.6</t>
  </si>
  <si>
    <t>Extintores tipo Pó ABC (Fabricante ou Distribuidora deve ser credenciado no Corpo de Bombeiro do Estado)</t>
  </si>
  <si>
    <t>COMP. 14 - DPE</t>
  </si>
  <si>
    <t>18.7</t>
  </si>
  <si>
    <t>Luminaria de Emergencia 60LED</t>
  </si>
  <si>
    <t>ELETRICO</t>
  </si>
  <si>
    <t>PONTOS DE UTILIZAÇÃO</t>
  </si>
  <si>
    <t>19.1</t>
  </si>
  <si>
    <t>Luminária embutir com aletas T8/T10 2x18W LED - fornecimento e instalação.</t>
  </si>
  <si>
    <t>19.2</t>
  </si>
  <si>
    <t>Luminária sobrepor com aletas T8/T10 2x18W LED - fornecimento e instalação.</t>
  </si>
  <si>
    <t>19.3</t>
  </si>
  <si>
    <t xml:space="preserve">Poste decorativo galvanizado à fogo e pintado, tipo luminária, h=3m, soquete E27, com lâmpada LED de 40W. </t>
  </si>
  <si>
    <t>19.4</t>
  </si>
  <si>
    <t>Arandela LED retângular em aço e vidro soquete E27, com lâmpada LED 15W</t>
  </si>
  <si>
    <t>19.5</t>
  </si>
  <si>
    <t>Spot de piso de sobrepor LED, para áreas externas, 10 W</t>
  </si>
  <si>
    <t>19.6</t>
  </si>
  <si>
    <t>Relé fotoelétrico p/ comando de iluminação externa 220V/1000W - fornecimento e instalação</t>
  </si>
  <si>
    <t>19.7</t>
  </si>
  <si>
    <t>Tomada alta de embutir (1 módulo), 2P+T 10 A, incluindo suporte e placa - fornecimento e instalação.</t>
  </si>
  <si>
    <t>19.8</t>
  </si>
  <si>
    <t>Tomada alta de embutir (1 módulo), 2P+T 20 A, incluindo suporte e placa - fornecimento e instalação.</t>
  </si>
  <si>
    <t>19.9</t>
  </si>
  <si>
    <t xml:space="preserve">Tomada média de embutir (1 módulo), 2P+T 10 A, incluindo suporte e placa - fornecimento e instalação. </t>
  </si>
  <si>
    <t>19.10</t>
  </si>
  <si>
    <t xml:space="preserve">Tomada média de embutir (1 módulo), 2P+T 20 A, incluindo suporte e placa - fornecimento e instalação. </t>
  </si>
  <si>
    <t>19.11</t>
  </si>
  <si>
    <t xml:space="preserve">Tomada média de embutir (2 módulos), 2P+T 10 A, incluindo suporte e placa - fornecimento e instalação. </t>
  </si>
  <si>
    <t>19.12</t>
  </si>
  <si>
    <t>Interruptor simples (1 módulo), 10A/250V, incluindo suporte e placa - fornecimento e instalação.</t>
  </si>
  <si>
    <t>19.13</t>
  </si>
  <si>
    <t>Interruptor simples (2 módulos), 10A/250V, incluindo suporte e placa - fornecimento e instalação.</t>
  </si>
  <si>
    <t>19.14</t>
  </si>
  <si>
    <t>Interruptor simples (3 módulos), 10A/250V, incluindo suporte e placa - fornecimento e instalação.</t>
  </si>
  <si>
    <t>19.15</t>
  </si>
  <si>
    <t xml:space="preserve">Interruptor paralelo (1 módulo), 10A/250V, incluindo suporte e placa
fornecimento e instalação. </t>
  </si>
  <si>
    <t>19.16</t>
  </si>
  <si>
    <t xml:space="preserve">Interruptor paralelo (2 módulos), 10A/250V, incluindo suporte e placa
fornecimento e instalação. </t>
  </si>
  <si>
    <t>19.17</t>
  </si>
  <si>
    <t xml:space="preserve">Tomada baixa de embutir (1 módulo), 2P+T 10 A, incluindo suporte e placa - fornecimento e instalação. </t>
  </si>
  <si>
    <t>19.18</t>
  </si>
  <si>
    <t xml:space="preserve">Tomada baixa de embutir (2 módulos), 2P+T 10 A, incluindo suporte e placa - fornecimento e instalação. </t>
  </si>
  <si>
    <t>ELETRODUTOS E CAIXAS</t>
  </si>
  <si>
    <t>19.19</t>
  </si>
  <si>
    <t xml:space="preserve">Rasgo em alvenaria para eletrodutos com diametros menores ou iguais a 40 mm. </t>
  </si>
  <si>
    <t>19.20</t>
  </si>
  <si>
    <t xml:space="preserve">Chumbamento linear em alvenaria para ramais/distribuição com diâmetros menores ou iguais a 40 mm. </t>
  </si>
  <si>
    <t>19.21</t>
  </si>
  <si>
    <t>Eletroduto flexível corrugado, pvc, dn 25 mm (3/4”), para circuitos terminais, instalado em parede - fornecimento e instalação.</t>
  </si>
  <si>
    <t>19.22</t>
  </si>
  <si>
    <t>Eletroduto flexível corrugado, pvc, dn 25 mm (3/4”), para circuitos terminais, instalado em forro - fornecimento e instalação.</t>
  </si>
  <si>
    <t>19.23</t>
  </si>
  <si>
    <t xml:space="preserve">Eletroduto rígido roscável, pvc, dn 25 mm (3/4), para circuitos terminais, instalado em laje - fornecimento e instalação. </t>
  </si>
  <si>
    <t>19.24</t>
  </si>
  <si>
    <t>Eletroduto flexível corrugado, pvc, dn 32 mm (1”), para circuitos terminais, instalado em forro - fornecimento e instalação.</t>
  </si>
  <si>
    <t>19.25</t>
  </si>
  <si>
    <t>Eletroduto rígido roscável, pvc, dn 40 mm (1 1/4"), para circuitos terminais, instalado em laje - fornecimento e instalação.</t>
  </si>
  <si>
    <t>19.26</t>
  </si>
  <si>
    <t xml:space="preserve">Eletroduto rígido roscável, pvc, dn 60 mm (2") - fornecimento e instalação. </t>
  </si>
  <si>
    <t>19.27</t>
  </si>
  <si>
    <t xml:space="preserve">Quebra em alvenaria para instalação de caixa de tomada (4x4 ou 4x2) </t>
  </si>
  <si>
    <t>19.28</t>
  </si>
  <si>
    <t xml:space="preserve">Caixa octogonal 4" x 4", pvc, instalada em laje - fornecimento e instalação. </t>
  </si>
  <si>
    <t>19.29</t>
  </si>
  <si>
    <t>Caixa retangular 4” x 2” alta (2 m do piso), pvc, instalada em parede - fornecimento e instalação.</t>
  </si>
  <si>
    <t>und.</t>
  </si>
  <si>
    <t>19.30</t>
  </si>
  <si>
    <t>Caixa retangular 4” x 2” média (1,30 m do piso), pvc, instalada em parede - fornecimento e instalação.</t>
  </si>
  <si>
    <t>19.31</t>
  </si>
  <si>
    <t>Caixa retangular 4” x 2” baixa (0,30 m do piso), pvc, instalada em parede - fornecimento e instalação.</t>
  </si>
  <si>
    <t>19.32</t>
  </si>
  <si>
    <t>Caixa de passagem 50x50x60 fundo brita c/ tampa</t>
  </si>
  <si>
    <t>19.33</t>
  </si>
  <si>
    <t>Caixa de passagem 20x20x25 fundo brita c/ tampa</t>
  </si>
  <si>
    <t>CABOS</t>
  </si>
  <si>
    <t>19.34</t>
  </si>
  <si>
    <t xml:space="preserve">Cabo de cobre flexível isolado, 1,5 mm², anti-chama 450/750v, para circuitos terminais - fornecimento e instalação. </t>
  </si>
  <si>
    <t>19.35</t>
  </si>
  <si>
    <t xml:space="preserve">Cabo de cobre flexível isolado, 2,5 mm², anti-chama 450/750v, para circuitos terminais - fornecimento e instalação. </t>
  </si>
  <si>
    <t>19.36</t>
  </si>
  <si>
    <t xml:space="preserve">Cabo de cobre flexível isolado, 4 mm², anti-chama 450/750v, para circuitos terminais - fornecimento e instalação. </t>
  </si>
  <si>
    <t>19.37</t>
  </si>
  <si>
    <t xml:space="preserve">Cabo de cobre flexível isolado, 6 mm², anti-chama 0,6/1,0kv, para circuitos terminais - fornecimento e instalação. </t>
  </si>
  <si>
    <t xml:space="preserve">Cabo de cobre flexível isolado, 10 mm², anti-chama 0,6/1,0kv, para distribuição - fornecimento e instalação. </t>
  </si>
  <si>
    <t>19.38</t>
  </si>
  <si>
    <t xml:space="preserve">Cabo de cobre flexível isolado, 35 mm², anti-chama 0,6/1,2kv, para distribuição - fornecimento e instalação. </t>
  </si>
  <si>
    <t>19.39</t>
  </si>
  <si>
    <t xml:space="preserve">Cabo de cobre flexível isolado, 70 mm², anti-chama 0,6/1,0 kv, para distribuição - fornecimento e instalação. </t>
  </si>
  <si>
    <t>ATERRAMENTO</t>
  </si>
  <si>
    <t>19.40</t>
  </si>
  <si>
    <t>Cabo de cobre nu 50mm² - fornecimento e instalacao</t>
  </si>
  <si>
    <t>19.41</t>
  </si>
  <si>
    <t>Haste de aterramento em aco com 2,40 m de comprimento e dn = 5/8", revestida com baixa camada de cobre, com conector - fornecimento e instalação.</t>
  </si>
  <si>
    <t>QUADROS</t>
  </si>
  <si>
    <t>74131/007</t>
  </si>
  <si>
    <t>19.42</t>
  </si>
  <si>
    <t>Quadro de distribuicao de energia de embutir, em chapa metalica, para 40 disjuntores termomagneticos monopolares, com barramento trifasico (100 A) e neutro - fornecimento e instalacao</t>
  </si>
  <si>
    <t>74131/005</t>
  </si>
  <si>
    <t>19.43</t>
  </si>
  <si>
    <t>Quadro de distribuicao de energia de embutir, em chapa metalica, para 24 disjuntores termomagneticos monopolares, com barramento trifasico (100 A) e neutro - fornecimento e instalacao</t>
  </si>
  <si>
    <t>19.44</t>
  </si>
  <si>
    <t xml:space="preserve">Disjuntor monopolar tipo DIN, corrente nominal de 10A - fornecimento e instalação. </t>
  </si>
  <si>
    <t>19.45</t>
  </si>
  <si>
    <t xml:space="preserve">Disjuntor monopolar tipo DIN, corrente nominal de 16A - fornecimento e instalação. </t>
  </si>
  <si>
    <t>19.46</t>
  </si>
  <si>
    <t xml:space="preserve">Disjuntor monopolar tipo DIN, corrente nominal de 20A - fornecimento e instalação. </t>
  </si>
  <si>
    <t>19.47</t>
  </si>
  <si>
    <t xml:space="preserve">Disjuntor bipolar tipo DIN, corrente nominal de 10A - fornecimento e instalação. </t>
  </si>
  <si>
    <t>19.48</t>
  </si>
  <si>
    <t xml:space="preserve">Disjuntor bipolar tipo DIN, corrente nominal de 16A - fornecimento e instalação. </t>
  </si>
  <si>
    <t>19.49</t>
  </si>
  <si>
    <t xml:space="preserve">Disjuntor tripolar tipo DIN, corrente nominal de 32A - fornecimento e instalação. </t>
  </si>
  <si>
    <t>19.50</t>
  </si>
  <si>
    <t xml:space="preserve">Disjuntor tripolar tipo DIN, corrente nominal de 40A - fornecimento e instalação. </t>
  </si>
  <si>
    <t>19.51</t>
  </si>
  <si>
    <t xml:space="preserve">Disjuntor tripolar tipo DIN, corrente nominal de 100A - fornecimento e instalação. </t>
  </si>
  <si>
    <t>19.52</t>
  </si>
  <si>
    <t>Dispositivo DR, bipolar, corrente nominal de 40A, 30mA - fornecimento e instalação.</t>
  </si>
  <si>
    <t>19.53</t>
  </si>
  <si>
    <t>Dispositivo DPS classe II, 1 polo, tensão máxima de 175 V, corrente maxima de 45kA (tipo AC) - fornecimento e instalação.</t>
  </si>
  <si>
    <t>19.54</t>
  </si>
  <si>
    <t>Entrada de energia elétrica aérea trifásica 100 A com poste de concreto, inclusive cabeamento, caixa de proteção para medidor e aterramento.</t>
  </si>
  <si>
    <t>CABEAMENTO ESTRUTURADO (TELEFONE E LÓGICA)</t>
  </si>
  <si>
    <t>20.1</t>
  </si>
  <si>
    <t>20.2</t>
  </si>
  <si>
    <t>20.3</t>
  </si>
  <si>
    <t>20.4</t>
  </si>
  <si>
    <t xml:space="preserve">Tomada média de embutir (1 módulo), RJ-45 Cat5e, incluindo suporte e placa (4" x 2") - fornecimento e instalação.    </t>
  </si>
  <si>
    <t>20.5</t>
  </si>
  <si>
    <t xml:space="preserve">Tomada baixa de embutir (2 módulos), RJ-45 Cat5e, incluindo suporte e placa (4" x 2") - fornecimento e instalação. </t>
  </si>
  <si>
    <t>20.6</t>
  </si>
  <si>
    <t xml:space="preserve">Tomada baixa de embutir (3 módulos), RJ-45 Cat5e, incluindo suporte e placa (4"x4") - fornecimento e instalação.  </t>
  </si>
  <si>
    <t>20.7</t>
  </si>
  <si>
    <t xml:space="preserve">Tomada baixa de embutir (4 módulos), RJ-45 Cat5e, incluindo suporte e placa (4"x4") - fornecimento e instalação. </t>
  </si>
  <si>
    <t>20.8</t>
  </si>
  <si>
    <t>Redução para Eletrocalha Perfurada 75x50mm, altura 50mm, com fornecimento e instalação.</t>
  </si>
  <si>
    <t>20.9</t>
  </si>
  <si>
    <t>Eletrocalha Perfurada em Aço Galvanizado 50x50mm, inclusive emenda e fixação, fornecimento e instalação.</t>
  </si>
  <si>
    <t xml:space="preserve">m </t>
  </si>
  <si>
    <t>20.10</t>
  </si>
  <si>
    <t>Eletrocalha Perfurada em Aço Galvanizado 75x50mm, inclusive emenda e fixação, fornecimento e instalação.</t>
  </si>
  <si>
    <t>20.11</t>
  </si>
  <si>
    <t>Tê Horizontal 90̊ para Eletrocalha Perfurada em Aço Galvanizado 75x50mm</t>
  </si>
  <si>
    <t>20.12</t>
  </si>
  <si>
    <t>Tê Horizontal 90̊ para Eletrocalha Perfurada em Aço Galvanizado 50x50mm, fornecimento e instalação.</t>
  </si>
  <si>
    <t>20.13</t>
  </si>
  <si>
    <t>Cotovelo reto 90̊ para Eletrocalha Perfurada em Aço Galvanizado 75x50mm, fornecimento e instalação.</t>
  </si>
  <si>
    <t>20.14</t>
  </si>
  <si>
    <t>Cotovelo reto 90̊ para Eletrocalha Perfurada em Aço Galvanizado  50x50mm, fornecimento e instalação.</t>
  </si>
  <si>
    <t>20.15</t>
  </si>
  <si>
    <t>Curva de inversão para  Eletrocalha Perfurada em Aço Galvanizado 75x50mm.</t>
  </si>
  <si>
    <t>20.16</t>
  </si>
  <si>
    <t>Terminal para Eletrocalha Perfurada em Aço Galvanizado.</t>
  </si>
  <si>
    <t>20.17</t>
  </si>
  <si>
    <t>Derivação para eletroduto 3/4" para Eletrocalha Perfurada em Aço Galvanizado.</t>
  </si>
  <si>
    <t>20.18</t>
  </si>
  <si>
    <t>20.19</t>
  </si>
  <si>
    <t>20.20</t>
  </si>
  <si>
    <t>Eletroduto de aço galvanizado, classe leve, dn 20 mm (3/4"), aparente
,instalado em teto - fornecimento e instalação.</t>
  </si>
  <si>
    <t>20.21</t>
  </si>
  <si>
    <t>Eletroduto de aço galvanizado, classe leve, dn 60 mm (2"), aparente
,instalado em teto - fornecimento e instalação.</t>
  </si>
  <si>
    <t>20.22</t>
  </si>
  <si>
    <t>20.23</t>
  </si>
  <si>
    <t>Eletroduto rígido roscável, pvc, dn 60 mm (2") - fornecimento e instalação.</t>
  </si>
  <si>
    <t>20.24</t>
  </si>
  <si>
    <t>Quadro de distribuicao para telefone n.3, 40x40x12cm em chapa metalica, de embutir, sem acessorios, padrao telebras, fornecimento e instalação</t>
  </si>
  <si>
    <t>ACESSIBILIDADE</t>
  </si>
  <si>
    <t>21.1</t>
  </si>
  <si>
    <t>Fornecimento e assentamento de piso tátil DIRECIONAL –ÁREA INTERNA - 25x25 cm</t>
  </si>
  <si>
    <t>21.2</t>
  </si>
  <si>
    <t>Fornecimento e assentamento de piso tátil ALERTA  –ÁREA INTERNA – 25x25 cm</t>
  </si>
  <si>
    <t>PAVIMENTAÇÃO EXTERNA</t>
  </si>
  <si>
    <t>94273</t>
  </si>
  <si>
    <t>22.1</t>
  </si>
  <si>
    <t>MEIO-FIO (GUIA) DE CONCRETO PRÉ-MOLDADO, DIMENSÕES 12X15X30X100CM (FACE SUPERIORXFACE INFRERIOR X ALTURA X COMPRIMENTO, REJUNTADO COM ARGAMASSA 1:4, CIMENTO + AREIA, INCLUINDO ESCAVAÇÃO E REATERRO</t>
  </si>
  <si>
    <t>22.2</t>
  </si>
  <si>
    <t>Execução de passeio em piso intertravado com bloco 16 faces de 22x11cm, espessura 8cm, (FCK = 35MPa)</t>
  </si>
  <si>
    <t>22.3</t>
  </si>
  <si>
    <t>Execução de piso/estacionamento em piso intertravado com bloco 16 faces de 22x11cm, espessura 8cm, (FCK = 35MPa)</t>
  </si>
  <si>
    <t>22.4</t>
  </si>
  <si>
    <t xml:space="preserve">EXECUÇÃO DE PASSEIO (CALÇADA) OU PISO DE CONCRETO COM CONCRETO MOLDADO IN LOCO, FEITO EM OBRA, ACABAMENTO CONVENCIONAL, NÃO ARMADO. </t>
  </si>
  <si>
    <t>74236/001</t>
  </si>
  <si>
    <t>22.5</t>
  </si>
  <si>
    <t>Jardim  grama em placas sobre adubo , incluindo mudas de pequeno porte (croton, ichória)</t>
  </si>
  <si>
    <t>22.6</t>
  </si>
  <si>
    <t xml:space="preserve">EXECUÇÃO DE PASSEIO (CALÇADA DA FRENTE) OU PISO DE CONCRETO COM CONCRETO MOLDADO IN LOCO, FEITO EM OBRA, ACABAMENTO CONVENCIONAL, ARMADO. </t>
  </si>
  <si>
    <t>22.7</t>
  </si>
  <si>
    <t>Armadura da calçada da frente</t>
  </si>
  <si>
    <t>BASE E ABRIGO PARA QUADRO GERADOR</t>
  </si>
  <si>
    <t>23.1</t>
  </si>
  <si>
    <t>Casa para quadro de transferência</t>
  </si>
  <si>
    <t>23.2</t>
  </si>
  <si>
    <t>Piso casa do Gerador</t>
  </si>
  <si>
    <t>23.3</t>
  </si>
  <si>
    <t>Estrutura de cobertura</t>
  </si>
  <si>
    <t>23.4</t>
  </si>
  <si>
    <t>Telha Fibrocimento</t>
  </si>
  <si>
    <t>23.5</t>
  </si>
  <si>
    <t xml:space="preserve">Base para gerador, concreto moldado in loco, espessura de 15cm. </t>
  </si>
  <si>
    <t>23.6</t>
  </si>
  <si>
    <t>Ferragem base do gerador</t>
  </si>
  <si>
    <t>DIVERSOS</t>
  </si>
  <si>
    <t>24.1</t>
  </si>
  <si>
    <t xml:space="preserve">Todas as informações necessárias de definição de itens, cores e outros itens com a Defensoria deve ser feito com no minimo 20dias e esse prazo não deve ser repassado para o cronograma </t>
  </si>
  <si>
    <t>24.2</t>
  </si>
  <si>
    <t>Ligação Definitiva de Água</t>
  </si>
  <si>
    <t>24.3</t>
  </si>
  <si>
    <t>Ligação Definitiva de Energia</t>
  </si>
  <si>
    <t>24.4</t>
  </si>
  <si>
    <t>Limpeza final da obra</t>
  </si>
  <si>
    <t>24.5</t>
  </si>
  <si>
    <t>Placas de identificação das salas, em acrílico, medindo 25x8 cm – espessura de 2mm (Deve ser solicitado da fiscalização os nomes para colocar nas placas)</t>
  </si>
  <si>
    <t>24.6</t>
  </si>
  <si>
    <t>Simbolo da Defensoria Pública com Letreiro com Letras aço inox (AISI 304), chapa num. 22, Recortado, H=20 cm - Dizeres: DEFENSORIA PÚBLICA DO ESTADO DE RORAIMA - ALTO ALEGRE, com letras em Aço Inox Chapa 22 - com fixação no local indicado pela Fiscalização</t>
  </si>
  <si>
    <t>24.7</t>
  </si>
  <si>
    <t>Placa inauguração (Informações e Modelo serão fornecido pela DEFENSORIA)</t>
  </si>
  <si>
    <t>74100/001</t>
  </si>
  <si>
    <t>24.8</t>
  </si>
  <si>
    <t>Portão de ferro</t>
  </si>
  <si>
    <t>24.9</t>
  </si>
  <si>
    <t>Pintura de Portão</t>
  </si>
  <si>
    <t xml:space="preserve"> DESPESAS INDIRETAS DA OBRA</t>
  </si>
  <si>
    <t>25.1</t>
  </si>
  <si>
    <t>Despesas de transporte de materiais p/ o canteiro</t>
  </si>
  <si>
    <t>25.2</t>
  </si>
  <si>
    <t>Administração local da obra</t>
  </si>
  <si>
    <t>CUSTO TOTAL</t>
  </si>
  <si>
    <t>PREÇO TOTAL (BDI 32,02%)</t>
  </si>
  <si>
    <t>Equipamentos</t>
  </si>
  <si>
    <t>26.1</t>
  </si>
  <si>
    <t>Grupo Gerador, a diesesl, montado em contêiner, silenciado com potência mínima de 53/ 48 kVA - 42 / 38 kWe (Emergência / Principal), trifásico, com fator de potência 0,8, na tensão de 220 /127 V, 60Hz, ligado à rede de energia elétrica do prédio através de chave de transferência automática.</t>
  </si>
  <si>
    <t>PREÇO TOTAL (BDI DIFERENCIADO 20,93%)</t>
  </si>
  <si>
    <t>OBSERVAÇÕES:                                                                                                                                                                                                                                    1 - Os serviços de despesas indiretas da obra devem ser medidos e pagos conforme o pecentual de execução da obra e deve ser mostrado no boletim de medição.</t>
  </si>
  <si>
    <t>BOA VISTA - RR</t>
  </si>
  <si>
    <t>ANEXO PB IV   -   CRONOGRAMA FÍSICO-FINANCEIRO</t>
  </si>
  <si>
    <t>SERVIÇOS</t>
  </si>
  <si>
    <t>30D</t>
  </si>
  <si>
    <t>60D</t>
  </si>
  <si>
    <t>90D</t>
  </si>
  <si>
    <t>120D</t>
  </si>
  <si>
    <t>150D</t>
  </si>
  <si>
    <t>180D</t>
  </si>
  <si>
    <t>210D</t>
  </si>
  <si>
    <t>TOTAL</t>
  </si>
  <si>
    <t xml:space="preserve"> </t>
  </si>
  <si>
    <t>ESTRUTURA</t>
  </si>
  <si>
    <t>PAVIMENTAÇÃO INTERNA</t>
  </si>
  <si>
    <t>ALVENARIA/DIVISORIAS</t>
  </si>
  <si>
    <t>ESQUADRIAS/VERGAS/CONTRAVERGAS/FECHADURA</t>
  </si>
  <si>
    <t>SOLEIRAS/PEITORIS/RODAPE</t>
  </si>
  <si>
    <t>SANITÁRIO</t>
  </si>
  <si>
    <t>DRENAGEM / AGUAS PLUVIAIS</t>
  </si>
  <si>
    <t>CABEAMENTO ESTRUTURADO</t>
  </si>
  <si>
    <t>BASE E ABRIGO - GERADOR</t>
  </si>
  <si>
    <t>GRUPO GERADOR</t>
  </si>
  <si>
    <t>DESPESAS INDIRETAS DA OBRA</t>
  </si>
  <si>
    <t>PERCENTUAL SIMPLES</t>
  </si>
  <si>
    <t>PERCENTUAL ACUMULADO</t>
  </si>
  <si>
    <t>TOTAL SIMPLES</t>
  </si>
  <si>
    <t>TOTAL ACUMULADO</t>
  </si>
  <si>
    <t>OBSERVAÇÃO:</t>
  </si>
  <si>
    <t>BOA VISTA - RR, Setembro/2017</t>
  </si>
  <si>
    <t>ANEXO PB VIII   -   COMPOSIÇÕES DE CUSTOS AUXILIARES</t>
  </si>
  <si>
    <t xml:space="preserve">RETIRADA DE ÁRVORES </t>
  </si>
  <si>
    <t>UNID.=</t>
  </si>
  <si>
    <t>UND</t>
  </si>
  <si>
    <t xml:space="preserve"> (Secretaria de Obras Ceará - C1055)</t>
  </si>
  <si>
    <t>CÓD. SINAPI</t>
  </si>
  <si>
    <t>DESCRIÇÃO</t>
  </si>
  <si>
    <t>UN</t>
  </si>
  <si>
    <t>Servente</t>
  </si>
  <si>
    <t>h</t>
  </si>
  <si>
    <t>DEMOLIÇÃO DE FORRO EM MADEIRA</t>
  </si>
  <si>
    <t>88261</t>
  </si>
  <si>
    <t>Carpinteiro</t>
  </si>
  <si>
    <t>H</t>
  </si>
  <si>
    <t>88239</t>
  </si>
  <si>
    <t>Ajudante de Carpintaria</t>
  </si>
  <si>
    <t>REMOÇÃO DE PORTA E BATENTE</t>
  </si>
  <si>
    <t>88316</t>
  </si>
  <si>
    <t>88309</t>
  </si>
  <si>
    <t>Pedreiro</t>
  </si>
  <si>
    <t>RETIRADA DE ESTRUTURA DE SUSTENTAÇÃO E COBERTURA</t>
  </si>
  <si>
    <t>88323</t>
  </si>
  <si>
    <t>Telhadista</t>
  </si>
  <si>
    <t>RETIRADA DE GRADE DE FERRO</t>
  </si>
  <si>
    <t>VERIFICAR TODAS AS COMPOSIÇÕES</t>
  </si>
  <si>
    <t>Servente com encargos complementares</t>
  </si>
  <si>
    <t>Pedreiro com encargos complementares</t>
  </si>
  <si>
    <t xml:space="preserve">PORTA SEMI-OCA, DIMENSÃO 1,6X2,10m PADRÃO POPULAR, ESPESSURA DE 3,5CM  ITENS INCLUSOS: DOBRADIÇAS, MONTAGEM E INSTALAÇÃO DO BATENTE, FECHADURA COM EXECUÇÃO DO FURO - FORNECIMENTO E INSTALAÇÃO. </t>
  </si>
  <si>
    <t>Und</t>
  </si>
  <si>
    <t>KIT DE PORTA DE MADEIRA PARA PINTURA, SEMI-OCA (LEVE OU MÉDIA), PADRÃO POPULAR, 80X210CM, ESPESSURA DE 3,5CM, ITENS INCLUSOS: DOBRADIÇAS, MONTAGEM E INSTALAÇÃO DO BATENTE, FECHADURA COM EXECUÇÃO DO FURO - FORNECIMENTO E INSTALAÇÃO.</t>
  </si>
  <si>
    <t>COMP. 07 -DPE</t>
  </si>
  <si>
    <t>PORTA DE VIDRO TEMPERADO, 2,00X2,10M, ESPESSURA 10MM, INCLUSIVE ACESSORIOS</t>
  </si>
  <si>
    <t>UNIDADE ==&gt;</t>
  </si>
  <si>
    <t>88325</t>
  </si>
  <si>
    <t>VIDRACEIRO COM ENCARGOS COMPLEMENTARES</t>
  </si>
  <si>
    <t>3104</t>
  </si>
  <si>
    <t>JOGO DE FERRAGENS CROMADAS P/ PORTA DE VIDRO TEMPERADO, UMA FOLHA COMPOSTA: DOBRADICA SUPERIOR (101) E INFERIOR (103),TRINCO (502), FECHADURA (520),CONTRA FECHADURA (531),COM CAPUCHINHO</t>
  </si>
  <si>
    <t>CJ</t>
  </si>
  <si>
    <t>10507</t>
  </si>
  <si>
    <t>VIDRO TEMPERADO INCOLOR E = 10 MM, SEM COLOCACAO</t>
  </si>
  <si>
    <t>11499</t>
  </si>
  <si>
    <t>MOLA HIDRAULICA DE PISO P/ VIDRO TEMPERADO 10MM</t>
  </si>
  <si>
    <t>11523</t>
  </si>
  <si>
    <t>PUXADOR CONCHA LATAO CROMADO OU POLIDO P/ PORTA/JAN CORRER - 3 X 9CM</t>
  </si>
  <si>
    <t xml:space="preserve">FORRO </t>
  </si>
  <si>
    <t>Forro Modular em PVC 60x120cm, com todos os acessorios para fixação na laje</t>
  </si>
  <si>
    <t>RUFO EM CONCRETO L=30CM</t>
  </si>
  <si>
    <t>M</t>
  </si>
  <si>
    <t>C3652 Secretaria Ceará</t>
  </si>
  <si>
    <t>Armador com encargos complementares</t>
  </si>
  <si>
    <t>Pedrisco</t>
  </si>
  <si>
    <t>Prego</t>
  </si>
  <si>
    <t>Areia Grossa</t>
  </si>
  <si>
    <t>Cimento Portland</t>
  </si>
  <si>
    <t>Desmoldante de forma</t>
  </si>
  <si>
    <t>l</t>
  </si>
  <si>
    <t>Arame Galvanizado</t>
  </si>
  <si>
    <t>Aço CA-50</t>
  </si>
  <si>
    <t>Chapa compensada resinada</t>
  </si>
  <si>
    <t>Lavatório para banheiro PNE</t>
  </si>
  <si>
    <t>LAVATÓRIO COM COLUNA</t>
  </si>
  <si>
    <t>00001381</t>
  </si>
  <si>
    <t>ARGAMASSA OU CIMENTO COLANTE EM PO PARA FIXACAO DE PECAS CERAMICAS</t>
  </si>
  <si>
    <t>01380</t>
  </si>
  <si>
    <t>Cimento branco</t>
  </si>
  <si>
    <t>036204</t>
  </si>
  <si>
    <t>Barra de apoio metal inox 60cm</t>
  </si>
  <si>
    <t>un</t>
  </si>
  <si>
    <t>011684</t>
  </si>
  <si>
    <t>ENGATE / RABICHO FLEXIVEL INOX 1/2 " X 40 CM</t>
  </si>
  <si>
    <t>036796</t>
  </si>
  <si>
    <t>Torneira para lavatório – 1/2”- temporizada</t>
  </si>
  <si>
    <t>000077</t>
  </si>
  <si>
    <t>Adaptador para sifão metálico</t>
  </si>
  <si>
    <t>006136</t>
  </si>
  <si>
    <t>Sifão inox para lavatório</t>
  </si>
  <si>
    <t>038643</t>
  </si>
  <si>
    <t>VALVULA EM METAL CROMADO PARA LAVATORIO, 1 "</t>
  </si>
  <si>
    <t>04351</t>
  </si>
  <si>
    <t>PARAFUSO NIQUELADO P/ FIXAR PECA SANITARIA - INCL PORCA CEGA, ARRUELA E BUCHA DE NYLON S-8</t>
  </si>
  <si>
    <t>Ajudante</t>
  </si>
  <si>
    <t>VASO SANITÁRIO PNE</t>
  </si>
  <si>
    <t>Bacia sanitária com caixa acoplada -cor branco</t>
  </si>
  <si>
    <t>000377</t>
  </si>
  <si>
    <t>Assento plástico</t>
  </si>
  <si>
    <t>001380</t>
  </si>
  <si>
    <t>036081</t>
  </si>
  <si>
    <t>Barra de apoio metal inox 80cm</t>
  </si>
  <si>
    <t>PARAFUSO NIQUELADO P/ FIXAR PECA SANITARIA - INCL PORCA CEGA, ARRUELA E BUCHA DE NYLON S-8, ANEL DE VEDAÇÃO</t>
  </si>
  <si>
    <t>SELANTE ELASTICO MONOCOMPONENTE A BASE DE POLIURETANO PARA JUNTAS DIVERSAS</t>
  </si>
  <si>
    <t>310ML</t>
  </si>
  <si>
    <t>PREGO DE ACO POLIDO COM CABECA 18 X 27 (2 1/2 X 10)</t>
  </si>
  <si>
    <t>KG</t>
  </si>
  <si>
    <t>REBITE DE ALUMINIO VAZADO DE REPUXO, 3,2 X 8 MM (1KG = 1025 UNIDADES)</t>
  </si>
  <si>
    <t>SOLDA EM BARRA DE ESTANHO-CHUMBO 50/50</t>
  </si>
  <si>
    <t>CALHA QUADRADA DE CHAPA DE ACO GALVANIZADA NUM 24, CORTE 133 CM (COLETADO CAIXA)</t>
  </si>
  <si>
    <t>SERVENTE COM ENCARGOS COMPLEMENTARES</t>
  </si>
  <si>
    <t>TELHADISTA COM ENCARGOS COMPLEMENTARES</t>
  </si>
  <si>
    <t>GUINCHO ELÉTRICO DE COLUNA, CAPACIDADE 400 KG, COM MOTO FREIO, MOTOR TRIFÁSICO DE 1,25 CV - CHP DIURNO. AF_03/2016</t>
  </si>
  <si>
    <t>CHP</t>
  </si>
  <si>
    <t>GUINCHO ELÉTRICO DE COLUNA, CAPACIDADE 400 KG, COM MOTO FREIO, MOTOR TRIFÁSICO DE 1,25 CV - CHI DIURNO. AF_03/2016</t>
  </si>
  <si>
    <t>CHI</t>
  </si>
  <si>
    <t>CAIXA DE PASSAGEM 60X60CM</t>
  </si>
  <si>
    <t>Alvenaria de 1/2 vez, profundidade média de 60cm</t>
  </si>
  <si>
    <t>grelha p/ Captação de águas pluviais para estacionamento</t>
  </si>
  <si>
    <t>Escavação de vala</t>
  </si>
  <si>
    <t xml:space="preserve">chapisco </t>
  </si>
  <si>
    <t>base de fundo</t>
  </si>
  <si>
    <t>LUMINÁRIA EMERGÊNCIA 60 LEDS</t>
  </si>
  <si>
    <t>0038774</t>
  </si>
  <si>
    <t>LUMINÁRIA  EMERGÊNCIA 60 LEDS</t>
  </si>
  <si>
    <t>FITA ISOLANTE -19mmx5m</t>
  </si>
  <si>
    <t>ROLO</t>
  </si>
  <si>
    <t>Eletricista</t>
  </si>
  <si>
    <t>COMP. 15 - DPE</t>
  </si>
  <si>
    <t>Luminária embutir com aletas T8/T10 2x32x36x40W</t>
  </si>
  <si>
    <t>Lampada Tubular LED 18W</t>
  </si>
  <si>
    <t>Eletricista com encargos complementares</t>
  </si>
  <si>
    <t>COMP. 16 - DPE</t>
  </si>
  <si>
    <t>Luminária sobrepor com aletas T8/T10 2x32x36x40W</t>
  </si>
  <si>
    <t>COMP. 17 - DPE</t>
  </si>
  <si>
    <t>Poste decorativo galvanizado à fogo e pintado, tipo luminária, h=3m, soquete E27, sem lâmpada</t>
  </si>
  <si>
    <t xml:space="preserve">Lâmpada LED de 40W. </t>
  </si>
  <si>
    <t>m³</t>
  </si>
  <si>
    <t>Cimento Portland composto CP II-32</t>
  </si>
  <si>
    <t>Auxiliar de eletricista com encargos complementares</t>
  </si>
  <si>
    <t>COMP. 18 - DPE</t>
  </si>
  <si>
    <t>Arandela LED retângular em aço e vidro soquete E27, sem lâmpada LED 15W</t>
  </si>
  <si>
    <t>Lâmpada LED 15W</t>
  </si>
  <si>
    <t>COMP. 19 - DPE</t>
  </si>
  <si>
    <t>COMP. 20 - DPE</t>
  </si>
  <si>
    <t>Caixa octogonal 4"x 4", pvc, instalada em laje - fornecimento e instalação.</t>
  </si>
  <si>
    <t>Caixa octogonal de fundo móvel, em PVC, de 4"x4", para eletroduto flexivel corrugado</t>
  </si>
  <si>
    <t>COMP. 21 - DPE</t>
  </si>
  <si>
    <t>Haste de aterramento em aco com 2,40 m de comprimento e dn = 5/8", revestida com baixa camada de cobre, sem conector</t>
  </si>
  <si>
    <t>Grampo metálico tipo olhal para haste de aterramento de 5/8'', condutor de10 a 50 mm²</t>
  </si>
  <si>
    <t>COMP. 22 - DPE</t>
  </si>
  <si>
    <t>Disjuntor tipo DIN/IEC, tripolar corrente nominal de 100A</t>
  </si>
  <si>
    <t>Terminal a compressao em cobre estanhado para cabo 70mm², 1 furo e 1 compressao, para parafuso de fixacao m10</t>
  </si>
  <si>
    <t>COMP. 23 - DPE</t>
  </si>
  <si>
    <t>Dispositivo DR, 2 polos, sensibilidade de 30 mA, corrente de 40A, tipo AC</t>
  </si>
  <si>
    <t>Terminal a compressao em cobre estanhado para cabo 4mm², 1 furo e 1 compressao, para parafuso de fixacao m5</t>
  </si>
  <si>
    <t>COMP. 24 - DPE</t>
  </si>
  <si>
    <t>Dispositivo DPS classe II, 1 polo, tensão máxima de 175 V, corrente maxima de 45kA (tipo AC)</t>
  </si>
  <si>
    <t>COMP. 25 - DPE</t>
  </si>
  <si>
    <t>Parafuso zincado, sextavado, com rosca inteira, diametro 5/8", comprimento 3", com porca e arruela de pressao media</t>
  </si>
  <si>
    <t>Arruela quadrada em aco galvanizado, dimensao = 38 mm, espessura = 3mm, diametro do furo= 18 mm</t>
  </si>
  <si>
    <t>Cabo de cobre, flexivel, classe 4 ou 5, isolacao em pvc/a, antichama bwf-b, cobertura pvc-st1, antichama bwf-b, 1 condutor, 0,6/1 kv, secao nominal 16 mm2</t>
  </si>
  <si>
    <t>Cabo de cobre, flexivel, classe 4 ou 5, isolacao em pvc/a, antichama bwf-b, cobertura pvc-st1, antichama bwf-b, 1 condutor, 0,6/1 kv, secao nominal 35 mm2</t>
  </si>
  <si>
    <t>Armação vertical com haste e contra-pino, em chapa de aço galvanizado 3/16", com 1 estribo e 1 isolador</t>
  </si>
  <si>
    <t xml:space="preserve">Disjuntor tripolar tipo DIN, corrente nominal de 100A </t>
  </si>
  <si>
    <t>Eletroduto de pvc rigido roscavel de 1 1/2" , sem luva</t>
  </si>
  <si>
    <t>Luva em pvc rigido roscavel, de 1 1/2", para eletroduto</t>
  </si>
  <si>
    <t>Isolador de porcelana, tipo roldana, dimensoes de *72* x *72* mm, para uso em baixa tensao</t>
  </si>
  <si>
    <t xml:space="preserve">Poste de concreto duplo T, 200 kgf, h = 7 m </t>
  </si>
  <si>
    <t>Caixa de medição, para medição direta, padrão Eletrobrás Distribuição Roraima</t>
  </si>
  <si>
    <t>COMP. 26 - DPE</t>
  </si>
  <si>
    <t xml:space="preserve">Tomada média de embutir (1 módulo), RJ-45 Cat5e, incluindo suporte e placa (4" x 2") - fornecimento e instalação. </t>
  </si>
  <si>
    <t>Suporte parafusado com placa de encaixe 4" x 2" médio (1,30 m do piso) para ponto elétrico - fornecimento e instalação. Af_12/2015</t>
  </si>
  <si>
    <t>Tomada RJ45, 8 fios, cat 5e (apenas modulo)</t>
  </si>
  <si>
    <t>COMP. 27 - DPE</t>
  </si>
  <si>
    <t>Suporte parafusado com placa de encaixe 4" x 2" baixo (0,30 m do piso) para ponto elétrico - fornecimento e instalação. Af_12/2015</t>
  </si>
  <si>
    <t>COMP. 28 - DPE</t>
  </si>
  <si>
    <t xml:space="preserve">Tomada baixa de embutir (3 módulos), RJ-45 Cat5e, incluindo suporte e placa (4" x 4") - fornecimento e instalação. </t>
  </si>
  <si>
    <t>Suporte parafusado com placa de encaixe 4" x 4" baixo (0,30 m do piso) para ponto elétrico - fornecimento e instalação. Af_12/2015</t>
  </si>
  <si>
    <t>COMP. 29 - DPE</t>
  </si>
  <si>
    <t xml:space="preserve">Tomada baixa de embutir (4 módulos), RJ-45 Cat5e, incluindo suporte e placa (4" x 4") - fornecimento e instalação. </t>
  </si>
  <si>
    <t>COMP. 30 - DPE</t>
  </si>
  <si>
    <t>Redução para Eletrocalha Perfurada (75 x 50)mm, com fornecimento e instalação.</t>
  </si>
  <si>
    <t>ELETRICISTA COM ENCARGOS COMPLEMENTARES</t>
  </si>
  <si>
    <t>AUXILIAR DE ELETRICISTA COM ENCARGOS
COMPLEMENTARES</t>
  </si>
  <si>
    <t>REDUÇÃO EM CHAPA DE AÇO GALVANIZADO
(75X50) X ALTURA 50MM</t>
  </si>
  <si>
    <t>TALA PARA EMENDA DE ELETROCALHA PERFURADA</t>
  </si>
  <si>
    <t>PARAFUSO CABEÇA LENTILHA ¼” X ¾”</t>
  </si>
  <si>
    <t>ARRUELA SIMPLES ¼”</t>
  </si>
  <si>
    <t>PORCA SEXTAVADA ¼”</t>
  </si>
  <si>
    <t>COMP. 31 - DPE</t>
  </si>
  <si>
    <t>ELETROCALHA PERFURADA EM CHAPA DE
AÇO GALVANIZADO, 50x50x3000 mm</t>
  </si>
  <si>
    <t>FIXAÇÃO DE TUBOS HORIZONTAIS DE COBRE DIÂMETROS    ≤ 40MM OU ELETROCALHAS ATÉ 150MM DE LARGURA,
COM ABRAÇADEIRA METÁLICA RÍGIDA TIPO D 1/2”,
FIXADA DIRETAMENTE NA LAJE</t>
  </si>
  <si>
    <t>COMP. 32 - DPE</t>
  </si>
  <si>
    <t>ELETROCALHA PERFURADA EM CHAPA DE
AÇO GALVANIZADO,75x50 MM</t>
  </si>
  <si>
    <t>COMP. 33 - DPE</t>
  </si>
  <si>
    <t>TE horizontal 90º para Eletrocalha Perfurada em Aço Galvanizado 75x50mm, fornecimento e instalação.</t>
  </si>
  <si>
    <t>TÊ HORIZONTAL 90° PARA ELETROCALHA EM
CHAPA DE AÇO GALVANIZADO 75X50MM</t>
  </si>
  <si>
    <t>COMP. 34 - DPE</t>
  </si>
  <si>
    <t>COMP. 35 - DPE</t>
  </si>
  <si>
    <t>Cotovelo Reto 90º para Eletrocalha Perfurada em Aço Galvanizado 75x50mm, fornecimento e instalação.</t>
  </si>
  <si>
    <t>COTOVELO RETO 90° PARA ELETROCALHA EM
CHAPA DE AÇO GALVANIZADO 75X50MM</t>
  </si>
  <si>
    <t>COMP. 36 - DPE</t>
  </si>
  <si>
    <t>Cotovelo Reto 90º para Eletrocalha Perfurada em Aço Galvanizado 50x50mm, fornecimento e instalação.</t>
  </si>
  <si>
    <t>COTOVELO RETO 90° PARA ELETROCALHA EM
CHAPA DE AÇO GALVANIZADO 50X50MM</t>
  </si>
  <si>
    <t>COMP. 37 - DPE</t>
  </si>
  <si>
    <t>CURVA DE INVERSÃO ELETROCALHA EM
CHAPA DE AÇO GALVANIZADO 75X50MM</t>
  </si>
  <si>
    <t>COMP. 38 - DPE</t>
  </si>
  <si>
    <t>Terminal para Eletrocalha Perfurada em Aço Galvanizado 50mm.</t>
  </si>
  <si>
    <t>TERMINAL PARA ELETROCALHA EM
CHAPA DE AÇO GALVANIZADO 50MM</t>
  </si>
  <si>
    <t>COMP. 39 - DPE</t>
  </si>
  <si>
    <t>DERIVAÇÃO PARA ELETRODUDTO 3/4" PARA ELETROCALHA EM CHAPA DE AÇO GALVANIZADO</t>
  </si>
  <si>
    <t>COMP.40 - 
DPE</t>
  </si>
  <si>
    <t>Eletroduto em aco galvanizado eletrolitico, semi-pesado, diametro 2", parede de 1,20 mm</t>
  </si>
  <si>
    <t>Fixação de tubos horizontais de pvc, cpvc ou cobre diâmetros maiores que 40 mm e menores ou iguais a 75 mm com abraçadeira metálica rígida tipo d 1 1/2", fixada em perfilado em laje. Af_05/2015</t>
  </si>
  <si>
    <t>COMP. 41 - DPE</t>
  </si>
  <si>
    <t>PISO TÁTIL DIRECIONAL / ALERTA – ÁREAS INTERNAS OU EXTERNAS</t>
  </si>
  <si>
    <t>00038181</t>
  </si>
  <si>
    <t>PISO TATIL DE ALERTA DE BORRACHA, 25 X 25 CM, E = 12 MM, PARA ARGAMASSA, CORES</t>
  </si>
  <si>
    <t>87620</t>
  </si>
  <si>
    <t>ARGAMASSA 1:4  CIMENTO + AREIA –  ESP. 2 a 3cm</t>
  </si>
  <si>
    <t>88262</t>
  </si>
  <si>
    <t>Montador</t>
  </si>
  <si>
    <t>COMP. 42 - DPE</t>
  </si>
  <si>
    <t>LIGAÇÃO DEFINITIVA DE ÁGUA</t>
  </si>
  <si>
    <t>ENCANADOR OU BOMBEIRO HIDRÁULICO COM ENCARGOS COMPLEMENTARES</t>
  </si>
  <si>
    <t>COMP. 43 - DPE</t>
  </si>
  <si>
    <t>LIGAÇÃO DEFINITIVA DE ENERGIA</t>
  </si>
  <si>
    <t>COMP. 44 - DPE</t>
  </si>
  <si>
    <t>DESPESAS DE TRANSPORTE DE MATERIAL PARA O CANTEIRO</t>
  </si>
  <si>
    <t>Materiais Diversos Caminhão Basculante</t>
  </si>
  <si>
    <t>tonxkm</t>
  </si>
  <si>
    <t>Materiais Diversos Caminhão Carroceria</t>
  </si>
  <si>
    <t>OBS: Verificar memória de cálculo</t>
  </si>
  <si>
    <t>COMP. 45 - DPE</t>
  </si>
  <si>
    <t>ADMINISTRAÇÃO LOCAL DA OBRA</t>
  </si>
  <si>
    <t>Engenheiro ou Arquiteto com encargos complementares              2 vezes/semana x 4 horas/dia x 7 meses</t>
  </si>
  <si>
    <t>Mestre de Obras com encargos complementares                             180h/mês x 7 meses</t>
  </si>
  <si>
    <t>mês</t>
  </si>
  <si>
    <t>Vigia noturno com encargos complementares  -  vigias 180h/mês - escala 12/36h x 3 meses</t>
  </si>
  <si>
    <t>ANEXO PB VI  -  MEMÓRIA DE CÁLCULO DOS QUANTITATIVOS</t>
  </si>
  <si>
    <t>0 - DADOS DA OBRA</t>
  </si>
  <si>
    <t>DISCRIMINAÇÃO</t>
  </si>
  <si>
    <t>AREA (m²)</t>
  </si>
  <si>
    <t>AREA CONSTRUIDA</t>
  </si>
  <si>
    <t>AREA TOTAL</t>
  </si>
  <si>
    <t>ÁREA DE COBERTURA</t>
  </si>
  <si>
    <t>1 - SERVIÇOS PRELIMINARES (M²)</t>
  </si>
  <si>
    <t>COMP. (m)</t>
  </si>
  <si>
    <t>ALTURA (m)</t>
  </si>
  <si>
    <t>LARGURA (m)</t>
  </si>
  <si>
    <t>Limpeza do Terreno</t>
  </si>
  <si>
    <t>Remoção de árvores</t>
  </si>
  <si>
    <t>Locação da Obra</t>
  </si>
  <si>
    <t>PLACA DA OBRA</t>
  </si>
  <si>
    <t>BANHEIRO PROVISORIO</t>
  </si>
  <si>
    <t>ESCRITORIO PROVISORIO</t>
  </si>
  <si>
    <t>REFEITORIO PROVISORIO</t>
  </si>
  <si>
    <t>ALMOXARIFADO</t>
  </si>
  <si>
    <t>VESTIARIO</t>
  </si>
  <si>
    <t>GALPÃO CARPINTARIA</t>
  </si>
  <si>
    <t>GALPÃO DE ARMAÇÃO</t>
  </si>
  <si>
    <t>LIGAÇÃO PROVISORIA ÁGUA</t>
  </si>
  <si>
    <t>LIGAÇÃO PROVISORIA DE ENERGIA</t>
  </si>
  <si>
    <t>2 - DEMOLIÇÃO/RETIRADA  (M²)</t>
  </si>
  <si>
    <t>ÁREA</t>
  </si>
  <si>
    <t>DEMOLIÇÃO FORRO MADEIRA/ PISO</t>
  </si>
  <si>
    <t>Ambiente 00</t>
  </si>
  <si>
    <t>Ambiente 01</t>
  </si>
  <si>
    <t>Ambiente 02</t>
  </si>
  <si>
    <t>Ambiente 03</t>
  </si>
  <si>
    <t>Ambiente 04</t>
  </si>
  <si>
    <t>W.C.</t>
  </si>
  <si>
    <t>COMP.</t>
  </si>
  <si>
    <t>PÉ DIREITO</t>
  </si>
  <si>
    <t>Desc. (m²)</t>
  </si>
  <si>
    <t>DEMOLIÇÃO ALVERNARIA</t>
  </si>
  <si>
    <t>P0</t>
  </si>
  <si>
    <t>P1</t>
  </si>
  <si>
    <t>P2</t>
  </si>
  <si>
    <t>P21</t>
  </si>
  <si>
    <t>P3</t>
  </si>
  <si>
    <t>P4</t>
  </si>
  <si>
    <t>P5</t>
  </si>
  <si>
    <t>P6</t>
  </si>
  <si>
    <t>P7</t>
  </si>
  <si>
    <t>P8</t>
  </si>
  <si>
    <t>P9</t>
  </si>
  <si>
    <t>P10</t>
  </si>
  <si>
    <t>TOTAL (m²)</t>
  </si>
  <si>
    <t>TOTAL (m³)</t>
  </si>
  <si>
    <t>RETIRADA DE APARELHOS SANITÁRIOS</t>
  </si>
  <si>
    <t>VASSO</t>
  </si>
  <si>
    <t>PIA</t>
  </si>
  <si>
    <t xml:space="preserve">3 - MURO </t>
  </si>
  <si>
    <t>DEMOLIÇÃO DE MURO</t>
  </si>
  <si>
    <t>Comp. (m)</t>
  </si>
  <si>
    <t>Larg. (m)</t>
  </si>
  <si>
    <t>Altura (m)</t>
  </si>
  <si>
    <t>Total (m³)</t>
  </si>
  <si>
    <t>Quantidade</t>
  </si>
  <si>
    <t>Seção (m²)</t>
  </si>
  <si>
    <t>Concreto</t>
  </si>
  <si>
    <t>Área (m²)</t>
  </si>
  <si>
    <t>Retirada de gradil</t>
  </si>
  <si>
    <t>3.1 ESCAVAÇÃO MANUAL DE VALAS</t>
  </si>
  <si>
    <t>Escavação Manual de valas</t>
  </si>
  <si>
    <t>Reaterro</t>
  </si>
  <si>
    <t>Escavação - alicerce - baldrame enterrado</t>
  </si>
  <si>
    <t>3.2 INFRAESTRUTURA</t>
  </si>
  <si>
    <t>3.2.1 CONCRETO</t>
  </si>
  <si>
    <t>Alicerce</t>
  </si>
  <si>
    <t>Baldrame enterrado</t>
  </si>
  <si>
    <t>Baldrame</t>
  </si>
  <si>
    <t>Baldrame projeto - baldrame enterrado</t>
  </si>
  <si>
    <t>3.2.2 FERRAGEM</t>
  </si>
  <si>
    <t>Peso (kg)</t>
  </si>
  <si>
    <t>Ferragem</t>
  </si>
  <si>
    <t>Retirado do projeto</t>
  </si>
  <si>
    <t>Bitola 5mm</t>
  </si>
  <si>
    <t>Bitola 8mm</t>
  </si>
  <si>
    <t>3.2.3 Forma</t>
  </si>
  <si>
    <t>Forma Tabua</t>
  </si>
  <si>
    <t>3.3 PILARES</t>
  </si>
  <si>
    <t>3.3.1 CONCRETO</t>
  </si>
  <si>
    <t>3.3.2 FERRAGEM</t>
  </si>
  <si>
    <t>Bitola 10mm</t>
  </si>
  <si>
    <t>3.4 REVESTIMENTO</t>
  </si>
  <si>
    <t>Total. (m²)</t>
  </si>
  <si>
    <t>Junta de Dilatação</t>
  </si>
  <si>
    <t>Alvenaria x lados</t>
  </si>
  <si>
    <t>Reboco</t>
  </si>
  <si>
    <t>igual chapisco</t>
  </si>
  <si>
    <t>Pingadeira (m)</t>
  </si>
  <si>
    <t>metros</t>
  </si>
  <si>
    <t>3.5 PINTURA</t>
  </si>
  <si>
    <t>SELADOR</t>
  </si>
  <si>
    <t>Pintura</t>
  </si>
  <si>
    <t xml:space="preserve">4 - MOVIMENTO DE TERRA </t>
  </si>
  <si>
    <t xml:space="preserve"> ESCAVAÇÃO MANUAL</t>
  </si>
  <si>
    <t>Quant.</t>
  </si>
  <si>
    <t>P1,P25,P30,31</t>
  </si>
  <si>
    <t>P2,P21,P45,P46</t>
  </si>
  <si>
    <t>P3,P13,P15,P16,P20,P36,P38,P41,P42,P43,P44,P47</t>
  </si>
  <si>
    <t>P5,P6,P33,P34</t>
  </si>
  <si>
    <t>P7,P9</t>
  </si>
  <si>
    <t>P8,P10,P11,P12,P14,P23,P24,P26,P40</t>
  </si>
  <si>
    <t>P17,P27,P28,P37</t>
  </si>
  <si>
    <t>P18,P22</t>
  </si>
  <si>
    <t>P19</t>
  </si>
  <si>
    <t>P29</t>
  </si>
  <si>
    <t>P32</t>
  </si>
  <si>
    <t>P35</t>
  </si>
  <si>
    <t>P39</t>
  </si>
  <si>
    <t>Reaterro (m²)</t>
  </si>
  <si>
    <t>Escavação - Sapatas</t>
  </si>
  <si>
    <t>5 - INFRAESTRUTURA E SUPERESTRUTURA</t>
  </si>
  <si>
    <t>Sapatas e Arranque</t>
  </si>
  <si>
    <t>Forma</t>
  </si>
  <si>
    <t>CA60</t>
  </si>
  <si>
    <t>Concreto Magro</t>
  </si>
  <si>
    <t>Vigas Baldrame</t>
  </si>
  <si>
    <t>Pilares</t>
  </si>
  <si>
    <t>Vigas Cobertura</t>
  </si>
  <si>
    <t>Laje Cobertura</t>
  </si>
  <si>
    <t>Pilares Reservatorio</t>
  </si>
  <si>
    <t>laje reservatorio (12,45m²)</t>
  </si>
  <si>
    <t>6 - PAVIMENTAÇÃO</t>
  </si>
  <si>
    <t>Material para Aterro</t>
  </si>
  <si>
    <t>Area de Piso (m²)</t>
  </si>
  <si>
    <t>Vol. (m³)</t>
  </si>
  <si>
    <t>Aterro da edificação</t>
  </si>
  <si>
    <t>Lastro em Concreto / Contrapiso</t>
  </si>
  <si>
    <t>Área de Piso (m²)</t>
  </si>
  <si>
    <t>Recepção</t>
  </si>
  <si>
    <t>Corredor</t>
  </si>
  <si>
    <t>Assessoria 02</t>
  </si>
  <si>
    <t>W.C. 05</t>
  </si>
  <si>
    <t>Gabinete 02</t>
  </si>
  <si>
    <t>Auditorio</t>
  </si>
  <si>
    <t>Cozinha</t>
  </si>
  <si>
    <t>Wall Externo</t>
  </si>
  <si>
    <t>W.C. 01</t>
  </si>
  <si>
    <t>Lavanderia</t>
  </si>
  <si>
    <t>Arquivo</t>
  </si>
  <si>
    <t>Almoxarifado</t>
  </si>
  <si>
    <t>Gabinete 01</t>
  </si>
  <si>
    <t>W.C. 02</t>
  </si>
  <si>
    <t>Assessoria 01</t>
  </si>
  <si>
    <t>W.C. 03</t>
  </si>
  <si>
    <t>P.N.E</t>
  </si>
  <si>
    <t>W.C. 04</t>
  </si>
  <si>
    <t>CERÂMICA PISO</t>
  </si>
  <si>
    <t>AREA (m2)</t>
  </si>
  <si>
    <t>Área Maior 10m²</t>
  </si>
  <si>
    <t>Área Menor 5m²</t>
  </si>
  <si>
    <t>Área entre 5m² e 10m²</t>
  </si>
  <si>
    <t>Auditorio Piso elevado</t>
  </si>
  <si>
    <t>Area (m²)</t>
  </si>
  <si>
    <t>Volume (m³)</t>
  </si>
  <si>
    <t>Espalhamento e Compactação</t>
  </si>
  <si>
    <t>Lastro de Concreto</t>
  </si>
  <si>
    <t>Contrapiso</t>
  </si>
  <si>
    <t>Porcelanato Área entre 5m² a 10m²</t>
  </si>
  <si>
    <t>7 - ALVENARIA (M²)</t>
  </si>
  <si>
    <t>COMPRIM.</t>
  </si>
  <si>
    <t>ALTURA</t>
  </si>
  <si>
    <t>DESCONTO (m2)</t>
  </si>
  <si>
    <t>P11</t>
  </si>
  <si>
    <t>P12</t>
  </si>
  <si>
    <t>P13</t>
  </si>
  <si>
    <t>P14</t>
  </si>
  <si>
    <t>P15</t>
  </si>
  <si>
    <t>P16</t>
  </si>
  <si>
    <t>P17</t>
  </si>
  <si>
    <t>P18</t>
  </si>
  <si>
    <t>P20</t>
  </si>
  <si>
    <t>P22</t>
  </si>
  <si>
    <t>P23</t>
  </si>
  <si>
    <t>P24</t>
  </si>
  <si>
    <t>P25</t>
  </si>
  <si>
    <t>P26</t>
  </si>
  <si>
    <t>P27</t>
  </si>
  <si>
    <t>PLATIBANDA</t>
  </si>
  <si>
    <t>RESERVATORIO</t>
  </si>
  <si>
    <t>DIVISORIA GRANITO MASCULINO</t>
  </si>
  <si>
    <t>DIVISORIA GRANITO FEMININO</t>
  </si>
  <si>
    <t>ENCUNHAMENTO</t>
  </si>
  <si>
    <t>8 - REVESTIMENTOS (m²)</t>
  </si>
  <si>
    <t>CHAPISCO</t>
  </si>
  <si>
    <t>COMPRIM. (m)</t>
  </si>
  <si>
    <t>DESCONTO (m²)</t>
  </si>
  <si>
    <t>LADOS</t>
  </si>
  <si>
    <t>EXTERNO</t>
  </si>
  <si>
    <t>PORTAS / JANELAS</t>
  </si>
  <si>
    <t>PASTILHAS</t>
  </si>
  <si>
    <t>Platibanda</t>
  </si>
  <si>
    <t>Reservatorio</t>
  </si>
  <si>
    <t>INTERNO</t>
  </si>
  <si>
    <t>Laje Externa</t>
  </si>
  <si>
    <t>REBOCO</t>
  </si>
  <si>
    <t>REBOCO = CHAPISCO INTERNO + CHAPISCO EXTERNO</t>
  </si>
  <si>
    <t>PASTILHA REVESTIMENTO PAREDE BANHEIRO</t>
  </si>
  <si>
    <t>DESCONTOS</t>
  </si>
  <si>
    <t>W.C.01</t>
  </si>
  <si>
    <t>W.C.02</t>
  </si>
  <si>
    <t>W.C.03</t>
  </si>
  <si>
    <t>W.C.04</t>
  </si>
  <si>
    <t>W.C.05</t>
  </si>
  <si>
    <t>REVESTIMENTO PASTILHA PAREDE EXTERNA</t>
  </si>
  <si>
    <t>Frente</t>
  </si>
  <si>
    <t>Lado Esquerdo</t>
  </si>
  <si>
    <t>Lado Direito</t>
  </si>
  <si>
    <t>Fundo</t>
  </si>
  <si>
    <t>9 - PINTURA / SELADOR / MASSA CORRIDA(M²)</t>
  </si>
  <si>
    <t>10 - ESQUADRIAS/VERGAS/CONTRAVERGA (M²)</t>
  </si>
  <si>
    <t>10.1 - PORTAS</t>
  </si>
  <si>
    <t>ÁREA (m²)</t>
  </si>
  <si>
    <t>PORTA Reservatorio e Casa gerador</t>
  </si>
  <si>
    <t>VÃO ABERTURA</t>
  </si>
  <si>
    <t>VERGA PORTAS até 1,50m</t>
  </si>
  <si>
    <t>VERGA PORTAS mais de 1,50m</t>
  </si>
  <si>
    <t>10.2 - JANELAS</t>
  </si>
  <si>
    <t>Altura</t>
  </si>
  <si>
    <t>LARGURA</t>
  </si>
  <si>
    <t>J1</t>
  </si>
  <si>
    <t>J2</t>
  </si>
  <si>
    <t>J3</t>
  </si>
  <si>
    <t>J4</t>
  </si>
  <si>
    <t>Contraverga até 1,50m</t>
  </si>
  <si>
    <t>Contraverga mais de 1,50</t>
  </si>
  <si>
    <t>Verga até 1,50m</t>
  </si>
  <si>
    <t>Verga mais de 1,50</t>
  </si>
  <si>
    <t>11.0 - SOLEIRAS/PEITORIS/RODAPE</t>
  </si>
  <si>
    <t>11.1 - Soleiras</t>
  </si>
  <si>
    <t>Portas</t>
  </si>
  <si>
    <t>Soma de vergas da porta</t>
  </si>
  <si>
    <t>11.2 - Peitoris</t>
  </si>
  <si>
    <t>Janelas</t>
  </si>
  <si>
    <t>Soma de vergas das Janelas</t>
  </si>
  <si>
    <t>11.3 - Rodapé</t>
  </si>
  <si>
    <t>Perimetro (m)</t>
  </si>
  <si>
    <t>Desconto (m)</t>
  </si>
  <si>
    <t>Per. Total (m)</t>
  </si>
  <si>
    <t>12 - FORRO</t>
  </si>
  <si>
    <t>13 - COBERTURA</t>
  </si>
  <si>
    <t>Metro (m)</t>
  </si>
  <si>
    <t>Área Total</t>
  </si>
  <si>
    <t>Estrutura Metalica</t>
  </si>
  <si>
    <t>Cobertura Telha Metalica</t>
  </si>
  <si>
    <t>Pintura anticorrisva e pintura esmalte fosco</t>
  </si>
  <si>
    <t>Rufo</t>
  </si>
  <si>
    <t>Cumeeira</t>
  </si>
  <si>
    <t>14 - HIDRAULICA</t>
  </si>
  <si>
    <t>TUBULAÇÃO PVC 25mm</t>
  </si>
  <si>
    <t>TUBULAÇÃO PVC 32mm</t>
  </si>
  <si>
    <t>UNIDADE</t>
  </si>
  <si>
    <t>CASTELO D'ÁGUA</t>
  </si>
  <si>
    <t>ALIMENTAÇÃO</t>
  </si>
  <si>
    <t>CAVALETE</t>
  </si>
  <si>
    <t>15 - SANITARIO (M²)</t>
  </si>
  <si>
    <t>16 - LOUÇAS E METAIS (M²)</t>
  </si>
  <si>
    <t>LAVATORIO PADRÃO MEDIO</t>
  </si>
  <si>
    <t>LAVATORIO PNE</t>
  </si>
  <si>
    <t>VASO SANITÁRIO</t>
  </si>
  <si>
    <t>PNE</t>
  </si>
  <si>
    <t>MICTORIO</t>
  </si>
  <si>
    <t>SABONETEIRA</t>
  </si>
  <si>
    <t>PAPELEIRA INOX</t>
  </si>
  <si>
    <t>17 - DRENAGEM/AGUAS PLUVIAIS</t>
  </si>
  <si>
    <t>TUBULAÇÃO PVC 100mm</t>
  </si>
  <si>
    <t>RETIRADO PROJETO + Tubulação descida calhas + Tubulação Reservatorio</t>
  </si>
  <si>
    <t>TUBULAÇÃO PVC 150mm</t>
  </si>
  <si>
    <t>TUBULAÇÃO PVC 200mm</t>
  </si>
  <si>
    <t>Largura (m)</t>
  </si>
  <si>
    <t>Calha 01</t>
  </si>
  <si>
    <t>Calha 02</t>
  </si>
  <si>
    <t>Calha 03</t>
  </si>
  <si>
    <t>Total (m)</t>
  </si>
  <si>
    <t>Calha Metalica</t>
  </si>
  <si>
    <t>Calha em PVC</t>
  </si>
  <si>
    <t>Dreno de Ar-condicionado</t>
  </si>
  <si>
    <t>Tubulação Vertical</t>
  </si>
  <si>
    <t>Tubulação Horizontal</t>
  </si>
  <si>
    <t>18 - INCENDIO</t>
  </si>
  <si>
    <t>PLACA S-3</t>
  </si>
  <si>
    <t>PLACA S2-E</t>
  </si>
  <si>
    <t>PLACA S2-D</t>
  </si>
  <si>
    <t>TIPO E-17</t>
  </si>
  <si>
    <t>PLACA  E-5</t>
  </si>
  <si>
    <t>EXTINTORES PO ABC</t>
  </si>
  <si>
    <t>LUMINARIA DE EMERGÊNCIA</t>
  </si>
  <si>
    <t>19 - ELETRICO</t>
  </si>
  <si>
    <t>12.1 RASGO 40mm²</t>
  </si>
  <si>
    <t>Comp.</t>
  </si>
  <si>
    <t>Total</t>
  </si>
  <si>
    <t>TOMADA ALTA</t>
  </si>
  <si>
    <t>TOMADA MÉDIA/INTERRUPTOR</t>
  </si>
  <si>
    <t>TOMADA BAIXA</t>
  </si>
  <si>
    <t>DESCIDA PARA QUADRO</t>
  </si>
  <si>
    <t>ARANDELA EXTERNAS</t>
  </si>
  <si>
    <t>20 - CABEAMENTO ESTRUTURADO</t>
  </si>
  <si>
    <t>COMPRIMENTO</t>
  </si>
  <si>
    <t>TOMADA</t>
  </si>
  <si>
    <t>21 - ACESSIBILIDADE</t>
  </si>
  <si>
    <t>QUANTIDADE</t>
  </si>
  <si>
    <t>AREA UNID</t>
  </si>
  <si>
    <t>22 - PAVIMENTAÇÃO</t>
  </si>
  <si>
    <t xml:space="preserve">TOTAL </t>
  </si>
  <si>
    <t>Meio fio</t>
  </si>
  <si>
    <t>Piso intertravado Calçada</t>
  </si>
  <si>
    <t>Piso intertravado estacionamento/pista</t>
  </si>
  <si>
    <t>Calçada concreto moldado in loco</t>
  </si>
  <si>
    <t>Jardim grama</t>
  </si>
  <si>
    <t>Calçada na frente do prédio</t>
  </si>
  <si>
    <t>23 - BASE E ABRIGO PARA GERADOR E QUADRO DE TRANSFERENCIA</t>
  </si>
  <si>
    <t>altura</t>
  </si>
  <si>
    <t>largura</t>
  </si>
  <si>
    <t>Volume</t>
  </si>
  <si>
    <t>Casa Gerador</t>
  </si>
  <si>
    <t>Piso Casa Gerador</t>
  </si>
  <si>
    <t>Estrutura Cobertura e Telha</t>
  </si>
  <si>
    <t>Piso base gerador</t>
  </si>
  <si>
    <t>24 - TRANSPORTE DE MATERIAL</t>
  </si>
  <si>
    <t>DISCRIMINAÇÃO (UNIDADE)</t>
  </si>
  <si>
    <t>COMPOSI.</t>
  </si>
  <si>
    <t>CONSUMO</t>
  </si>
  <si>
    <t>PESO ESPECÍF. (KG/UND)</t>
  </si>
  <si>
    <t>PESO TOTAL (TON)</t>
  </si>
  <si>
    <t>Alvenaria de Vedação (89168)</t>
  </si>
  <si>
    <t>Alven. 01 (87495)</t>
  </si>
  <si>
    <t>Alvenaria (milheiro)</t>
  </si>
  <si>
    <t>Alven. 02 (87503)</t>
  </si>
  <si>
    <t>1,9ton/milheiro</t>
  </si>
  <si>
    <t>Alven. 03 (87511)</t>
  </si>
  <si>
    <t>Alven. 04 (87519)</t>
  </si>
  <si>
    <t>Cimento</t>
  </si>
  <si>
    <t>Cimento (kg)</t>
  </si>
  <si>
    <t>Cal</t>
  </si>
  <si>
    <t>Cal (kg)</t>
  </si>
  <si>
    <t>Areia</t>
  </si>
  <si>
    <t>Areia (m³)</t>
  </si>
  <si>
    <t>Reboco Massa única (89173)</t>
  </si>
  <si>
    <t>Concreto Fck 25MPa (94965)</t>
  </si>
  <si>
    <t>Pedra (m³)</t>
  </si>
  <si>
    <t>Forro modular em PVC 60x120cm</t>
  </si>
  <si>
    <t>2,04Kg/m²</t>
  </si>
  <si>
    <t>Fabricação de forma - PILAR (92418)</t>
  </si>
  <si>
    <t>Chapa Compensada</t>
  </si>
  <si>
    <t>Chapa (m2)</t>
  </si>
  <si>
    <t>12kg/m2</t>
  </si>
  <si>
    <t>Peça de Madeira 7,5x7,5</t>
  </si>
  <si>
    <t>Peça (m)</t>
  </si>
  <si>
    <t>700kg/m³</t>
  </si>
  <si>
    <t>Peça de Madeira 2,5x7,5</t>
  </si>
  <si>
    <t>Montagem e Fabricação VIGA (92448)</t>
  </si>
  <si>
    <t>Peça de Madeira 2,5x30</t>
  </si>
  <si>
    <t>Peça de Madeira 2,5x7,0</t>
  </si>
  <si>
    <t>Escoras 7,5x7,5cm</t>
  </si>
  <si>
    <t>Piso Porcelanato (87263)</t>
  </si>
  <si>
    <t>Porcelanato</t>
  </si>
  <si>
    <t>Porcelanato (m2)</t>
  </si>
  <si>
    <t>20,25kg/m²</t>
  </si>
  <si>
    <t xml:space="preserve"> Aplicação Manual de Tinta Acrilica (88489)</t>
  </si>
  <si>
    <t>Tinta Acrilica</t>
  </si>
  <si>
    <t>Tinta (L)</t>
  </si>
  <si>
    <t>1,5kg/l</t>
  </si>
  <si>
    <t>Lastro de Concreto (m³) (83534)</t>
  </si>
  <si>
    <t>Pedra</t>
  </si>
  <si>
    <t>Pedra (m3)</t>
  </si>
  <si>
    <t>Forma Tabua Fundação (5651)</t>
  </si>
  <si>
    <t>Peça de Madeira 7,5x7,5cm</t>
  </si>
  <si>
    <t>Peça de Madeira 2,5x5,0cm</t>
  </si>
  <si>
    <t>Tabua 2,5x30cm</t>
  </si>
  <si>
    <t>Massa Corida (88497)</t>
  </si>
  <si>
    <t>Massa Corrida PVA</t>
  </si>
  <si>
    <t>Massa Corrida (18L)</t>
  </si>
  <si>
    <t>31,7kg/18l</t>
  </si>
  <si>
    <t>Execução Bloco 16 faces (92404)</t>
  </si>
  <si>
    <t>Tinta</t>
  </si>
  <si>
    <t>Po de Pedra</t>
  </si>
  <si>
    <t>Pó de Pedra (m³)</t>
  </si>
  <si>
    <t>kg/l</t>
  </si>
  <si>
    <t>Bloquete 16 faces</t>
  </si>
  <si>
    <t>Bloquete (m³)</t>
  </si>
  <si>
    <t>39kg/m²</t>
  </si>
  <si>
    <t>Telhamento com telha de aço/aluminio (94213)</t>
  </si>
  <si>
    <t>Telha de aco zincada</t>
  </si>
  <si>
    <t>Telha (m2)</t>
  </si>
  <si>
    <t>3,79kg/m2</t>
  </si>
  <si>
    <t>Forma Tabua Fundação (92513)</t>
  </si>
  <si>
    <t>Chapa de Madeira Resinada</t>
  </si>
  <si>
    <t>5,87kg/m²</t>
  </si>
  <si>
    <t>Pastilha (89170)</t>
  </si>
  <si>
    <t>Pastilha 10x10cm</t>
  </si>
  <si>
    <t>Contrapiso (94439)</t>
  </si>
  <si>
    <t xml:space="preserve">Cimento </t>
  </si>
  <si>
    <t>CA - 50A - 8,0</t>
  </si>
  <si>
    <t>CA - 60A - 5,0</t>
  </si>
  <si>
    <t>CA - 50A - 6,3</t>
  </si>
  <si>
    <t>CA - 50A - 10</t>
  </si>
  <si>
    <t>SINAPI</t>
  </si>
  <si>
    <t>Peso (Ton)</t>
  </si>
  <si>
    <t>Distância (Km)</t>
  </si>
  <si>
    <t>Preço (R$)</t>
  </si>
  <si>
    <t>Materiais Transportaveis em Caminha Basculante</t>
  </si>
  <si>
    <t>Materiais Transportaveis em Caminha Carroceria</t>
  </si>
  <si>
    <t>Total (R$)</t>
  </si>
  <si>
    <t>ANEXO PB V  -  CURVA ABC DOS PREÇOS</t>
  </si>
  <si>
    <t>PREÇO (R$)</t>
  </si>
  <si>
    <t>PART. (%)</t>
  </si>
  <si>
    <t>PART. ACUMUL. (%)</t>
  </si>
  <si>
    <t>FAIXA A</t>
  </si>
  <si>
    <t>COTAÇÃO 027</t>
  </si>
  <si>
    <t>Grupo Gerador, a diesesl, montado em contêiner, silenciado com potência mínima de 55/ 50 kVA - 44 / 40 kWe (Emergência / Principal), trifásico, com fator de potência 0,8, na tensão de 220 /127 V, 60Hz, ligado à rede de energia elétrica do prédio através de chave de transferência automática.</t>
  </si>
  <si>
    <t>Lastro em concreto simples , 1:3:5 , com adição de impermeabilizante, espessura de 10cm – para a ser ampliada</t>
  </si>
  <si>
    <t>COTAÇÃO 028</t>
  </si>
  <si>
    <t>FAIXA B</t>
  </si>
  <si>
    <t>FAIXA C</t>
  </si>
  <si>
    <t>ANEXO PB VII - COTAÇÃO</t>
  </si>
  <si>
    <t>INSTALAÇÃO ELÉTRICA</t>
  </si>
  <si>
    <t>COTAÇÃO 001</t>
  </si>
  <si>
    <t>1ª Empresa</t>
  </si>
  <si>
    <t>2ª Empresa</t>
  </si>
  <si>
    <t>3ª Empresa</t>
  </si>
  <si>
    <t>LM SGUARIO E SILVA &amp; CIA LTDA    CNPJ: 05.950.456/0001-36 End.: Glaycon de Paiva, 2609 - São Vicente - CEP: 69.303-340 - BOA VISTA/RR</t>
  </si>
  <si>
    <t>VIMEZER FORNC. DE SERV. LTDA    CNPJ: 10.159.093/0002-36  End.: Av. São Sebastião, 1647 - Santa Tereza - CEP: 69.312-318 - BOA VISTA/RR</t>
  </si>
  <si>
    <t>M.I. Revestimentos Ltda. CNPJ 10.490.181/0001-35. Endereço: Rua Marechal Deodoro, nº 717, 3º/4º/5º andares, Bairro Centro, Curitiba, Paraná.
CEP 80020-320</t>
  </si>
  <si>
    <t>MEDIANA (R$)</t>
  </si>
  <si>
    <t>Luminária embutir com aletas T8/T10 2x32/36/40W - fornecimento e instalação.</t>
  </si>
  <si>
    <t>COTAÇÃO 002</t>
  </si>
  <si>
    <t>4ª Empresa</t>
  </si>
  <si>
    <t>CASA DO ELETRICISTA COM. E CONST. LTDA    CNPJ: 84.012.418/0001-09 End.: Av. Venezuela, 2127 - Liberdade - CEP: 69.309-005 - BOA VISTA/RR</t>
  </si>
  <si>
    <t>BRASMOL - COM. SERV. IMP. E EXP. LTDA    CNPJ: 13.085.476/0001-14  End.: Av. Surumu, 2099 - Mecejana - CEP: 69.304-555 BOA VISTA/RR</t>
  </si>
  <si>
    <t>Luminária sobrepor com aletas T8/T10 2x32/36/40W.</t>
  </si>
  <si>
    <t>COTAÇÃO 003</t>
  </si>
  <si>
    <t>CASTELÃO COM. MAT. DE CONST. LTDA   CNPJ:01.268.775/0001-05 End.: Mário H. de Melo, 5088 - Caimbé - CEP: 69.312-000 BOA VISTA/RR</t>
  </si>
  <si>
    <t>BRASFERRO - COM. IND. IMP. E EXP. LTDA    CNPJ: 84.054.329/0001-25 End.: Glaycon de Paiva, 2304 - Pricumã - CEP: 69.309-695  BOA VISTA/RR</t>
  </si>
  <si>
    <t xml:space="preserve">Lâmpada tubular de LED T8 18W </t>
  </si>
  <si>
    <t>COTAÇÃO 004</t>
  </si>
  <si>
    <t>Lâmpada de LED E27, Potência 40W.</t>
  </si>
  <si>
    <t>COTAÇÃO 005</t>
  </si>
  <si>
    <t>Lâmpada pequena de LED E27, Potência 15W.</t>
  </si>
  <si>
    <t>COTAÇÃO 006</t>
  </si>
  <si>
    <t>Poste decorativo pintado, tipo com luminária, H=2440mm, potência até 40W, sem lâmpada. Tipo de lâmpada a ser usada: LED E27.</t>
  </si>
  <si>
    <t>COTAÇÃO 007</t>
  </si>
  <si>
    <t>LOJA ELETRICA LIMITADA 
Av. Santos Dumont, 402
Bairro: Centro
CEP: 30.111-040 - Belo Horizonte/MG
Tel:  (31) 3273-1000
CNPJ: 17.155.342/0001-83</t>
  </si>
  <si>
    <t>Arandela retangular em aço e vidro. Dimensões: 190mm x 120mm x 95mm. Soquete E27, sem lâmpada.</t>
  </si>
  <si>
    <t>COTAÇÃO 008</t>
  </si>
  <si>
    <t>COTAÇÃO 009</t>
  </si>
  <si>
    <t>PREMOL INDUSTRIA, COMERCIO E SERVIÇO LTDA - CNPJ: 01.653.995/0001-52, Rua: Jorge cacapava nº100, Distrito Industrial - BOA VISTA/RR</t>
  </si>
  <si>
    <t>Poste de concreto duplo T, 200 kgf, h = 7 m</t>
  </si>
  <si>
    <t>COTAÇÃO 010</t>
  </si>
  <si>
    <t>COTAÇÃO 011</t>
  </si>
  <si>
    <t>Luminária de piso, LED, 10W.</t>
  </si>
  <si>
    <t>COTAÇÃO 012</t>
  </si>
  <si>
    <t>MAXTIL - CNPJ.: 07.265.878/0003-60 - Unidade Fabril São Paulo - Rua Rosa Mafei, 445 – Bonsucesso – Cep: 07177-110 – Guarulhos - SP - Tel. (11) 2631-9090</t>
  </si>
  <si>
    <t xml:space="preserve">PERFIL DUTO - Rua Elizabeth Koller, 201 – Itupeva- SP - Cep: 13295-000 -  Telefone de contato: (11) 4230-1860 (11) 4230-1866, comercial@perfilduto.com.br </t>
  </si>
  <si>
    <t>REAL PERFIL INDÚSTRIA E COMÉRCRIO LTDA - CNPJ: 69.179.448/0001-10
Av. Nossa Senhora do Ó, 955 - B. Limão - São Paulo/SP - Cep. 02715-000
Fone (11) 2134-0002 
email:vendas@realperfil.com.br</t>
  </si>
  <si>
    <t>Redução em aço galvanizado 75mm x 50mm.</t>
  </si>
  <si>
    <t>COTAÇÃO 013</t>
  </si>
  <si>
    <t>Tala perfurada para emenda de eletrocalha  em aço galvanizado 50mm.</t>
  </si>
  <si>
    <t>COTAÇÃO 014</t>
  </si>
  <si>
    <t>Parafuso Cabeça lentilha, 1/4pol x 3/4pol.</t>
  </si>
  <si>
    <t>COTAÇÃO 015</t>
  </si>
  <si>
    <t>Arruela simples 1/4pol.</t>
  </si>
  <si>
    <t>COTAÇÃO 016</t>
  </si>
  <si>
    <t>Porca sextavada 1/4pol.</t>
  </si>
  <si>
    <t>COTAÇÃO 017</t>
  </si>
  <si>
    <t>Eletrocalha perfurada 75mm x 50mm x 3000m</t>
  </si>
  <si>
    <t>COTAÇÃO 018</t>
  </si>
  <si>
    <t xml:space="preserve">PERFIL DUTO - CNPJ: 10.714.334/0001-80- Rua Elizabeth Koller, 201 – Itupeva- SP - Cep: 13295-000 -  Telefone de contato: (11) 4230-1860 (11) 4230-1866, comercial@perfilduto.com.br </t>
  </si>
  <si>
    <t>Eletrocalha perfurada 50mm x 50mm x 3000m</t>
  </si>
  <si>
    <t>COTAÇÃO 019</t>
  </si>
  <si>
    <t>T horizontal 90° para eletrocalha 75mm x 50mm.</t>
  </si>
  <si>
    <t>COTAÇÃO 020</t>
  </si>
  <si>
    <t>T horizontal 90° para eletrocalha 50mm x 50mm.</t>
  </si>
  <si>
    <t>COTAÇÃO 021</t>
  </si>
  <si>
    <t>Cotovelo Reto 90° 50mm x 50mm.</t>
  </si>
  <si>
    <t>COTAÇÃO 022</t>
  </si>
  <si>
    <t>Cotovelo Reto 90° 75mm x 50mm.</t>
  </si>
  <si>
    <t>COTAÇÃO 023</t>
  </si>
  <si>
    <t>Curva de inversão 75mm x 50mm.</t>
  </si>
  <si>
    <t>COTAÇÃO 024</t>
  </si>
  <si>
    <t>Terminal para elerocalha.</t>
  </si>
  <si>
    <t>COTAÇÃO 025</t>
  </si>
  <si>
    <t>Derivação de eletrocalha para eletroduto, 3/4 pol.</t>
  </si>
  <si>
    <t>ITENS DIVERSOS</t>
  </si>
  <si>
    <t>COTAÇÃO 026</t>
  </si>
  <si>
    <t>Alumínio Boa Vista LTDA-ME CNPJ:09.379.251/0001-01 End.: Av. São Sebastião, 1745 - Santa Tereza - CEP: 69314-152 - VALOR SÓ INSUMO + MÃO DE OBRA COMPOSIÇÃO 96115</t>
  </si>
  <si>
    <t>Gauger e Alves LTDA-ME CNPJ: 11.950.993/0001-89 End.: Av. São Sebastião, 1426 - Tancredo Neves - CEP: 69313-495 - VALOR INSUMO E MÃO DE OBRA</t>
  </si>
  <si>
    <t>Forro Modular em PVC 60x120cm, com estrutura de fixação em Laje</t>
  </si>
  <si>
    <t>NOROESTE MANAUS, CNPJ: 18.918.142/0001-06, Av. Efigênio Sales nº 1800, Aleixo - Manaus (AM), Fone: 92-3303-9650 E-mail: marcos.silva@noroeste-am.com.br</t>
  </si>
  <si>
    <t>STEMAC S/A GRUPOS GERADORES, MANAUS/AM, CNPJ: 92.753.268/0014-37 Av. Tefe nº 2573 Complemento A, Bairro: Raiz Fone: 92-2123-8200 E-mail: manaus@stemac.com.br</t>
  </si>
  <si>
    <t>GENESyS SERVIÇOS E COMÉRCIO DE MATERIAIS ELÉTRICOS LTDA CNPJ: 12.114.056/0001-56, Matriz: Av. Nathan Xavier de Albuquerque, 1327, Lote Aguas Claras, Novo Aleixo, Manaus/AM, Fone: 92-3025-3804</t>
  </si>
  <si>
    <t>Público Color, Boa Vista, CNPJ: 34.804.062/0001-78, Av. Mario Homem de Melo, 1355 Mecejana CEP: 69304-350.  Telefone: (95) - 3224-6952 ou 99125-9067</t>
  </si>
  <si>
    <t>MGM gráfica, Boa Vista - RR, CNPJ: 04.948.442/0001-1, Av. Santos Dumont, nº 948. Telefone: (95) - 3224-2417</t>
  </si>
  <si>
    <t>PLACA DA DEFENSORIA COM LETRAS ESCRITA "DEFENSORIA PÚBLICA DO ESTADO DE RORAIMA - ALTO ALEGRE"</t>
  </si>
  <si>
    <t>ANEXO PB IX / A – CALCULO BDI</t>
  </si>
  <si>
    <t>COMPOSIÇÃO ANALÍTICA DO BDI - Construção de Edificação</t>
  </si>
  <si>
    <t>DISCRIMINIAÇÃO</t>
  </si>
  <si>
    <t>Índices</t>
  </si>
  <si>
    <t>ÍNDICE ADOTADO</t>
  </si>
  <si>
    <t>1º quartil</t>
  </si>
  <si>
    <t>médio</t>
  </si>
  <si>
    <t>3º quartil</t>
  </si>
  <si>
    <t>X</t>
  </si>
  <si>
    <t>Administração Central</t>
  </si>
  <si>
    <t>Seguro e Garantia</t>
  </si>
  <si>
    <t>Risco</t>
  </si>
  <si>
    <t>Y</t>
  </si>
  <si>
    <t>Despesas Financeiras</t>
  </si>
  <si>
    <t>Z</t>
  </si>
  <si>
    <t>Lucro</t>
  </si>
  <si>
    <t>Tributos (totais)</t>
  </si>
  <si>
    <t>COFINS</t>
  </si>
  <si>
    <t>PIS</t>
  </si>
  <si>
    <t>ISS</t>
  </si>
  <si>
    <t>CPRB</t>
  </si>
  <si>
    <t xml:space="preserve"> % DE BDI A SER UTILIZADO =</t>
  </si>
  <si>
    <t>LEGENDA</t>
  </si>
  <si>
    <t>FÓRMULA PARA CÁLCULO DO BDI</t>
  </si>
  <si>
    <t>X =</t>
  </si>
  <si>
    <t>Despesas indiretas (exceto tributos e despesas financeiras)</t>
  </si>
  <si>
    <t>Y =</t>
  </si>
  <si>
    <t>Despesas financeiras</t>
  </si>
  <si>
    <t>Z =</t>
  </si>
  <si>
    <t>I =</t>
  </si>
  <si>
    <t>Taxa representativa da incidência de impostos</t>
  </si>
  <si>
    <t>BDI=</t>
  </si>
  <si>
    <t>(1+X)     x</t>
  </si>
  <si>
    <t>(1+Y)    x</t>
  </si>
  <si>
    <t>(1+Z)</t>
  </si>
  <si>
    <t>-1</t>
  </si>
  <si>
    <t>(1 - I)</t>
  </si>
  <si>
    <t>- 1</t>
  </si>
  <si>
    <r>
      <rPr>
        <b/>
        <i/>
        <sz val="12"/>
        <color rgb="FF000000"/>
        <rFont val="Times New Roman"/>
        <charset val="134"/>
      </rPr>
      <t xml:space="preserve">Obs: Os valores máximos e mínimos foram adotados conforme orientação do </t>
    </r>
    <r>
      <rPr>
        <b/>
        <i/>
        <sz val="12"/>
        <color rgb="FF0000FF"/>
        <rFont val="Times New Roman"/>
        <charset val="134"/>
      </rPr>
      <t>ACÓRDÃO 2622/2013 – TCU – Plenário</t>
    </r>
    <r>
      <rPr>
        <b/>
        <i/>
        <sz val="12"/>
        <color rgb="FF000000"/>
        <rFont val="Times New Roman"/>
        <charset val="134"/>
      </rPr>
      <t>.</t>
    </r>
  </si>
  <si>
    <t xml:space="preserve">     *Fórmula orientada pelo Tribunal de Contas da União para o cálculo final do BDI</t>
  </si>
  <si>
    <t xml:space="preserve">     **Caso a empresa seja optante pelo Simples Nacional colocar os encargos conforme seu cadastramento no sistema e comprovar essa faixa utilizada para a Administração</t>
  </si>
  <si>
    <t>ANEXO PB IX / B – CALCULO BDI DIFERENCIADO</t>
  </si>
  <si>
    <t>COMPOSIÇÃO ANALÍTICA DO BDI DIFERENCIADO - Construção de Edificação</t>
  </si>
  <si>
    <t>ANEXO PB IX / C – ENCARGOS SOCIAIS</t>
  </si>
  <si>
    <t>HORISTA  (%)</t>
  </si>
  <si>
    <t>MENSALISTA (%)</t>
  </si>
  <si>
    <t>GRUPO A</t>
  </si>
  <si>
    <t>A1</t>
  </si>
  <si>
    <t>INSS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</si>
  <si>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</si>
  <si>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</si>
  <si>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</si>
  <si>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</si>
  <si>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</si>
  <si>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</si>
  <si>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</si>
  <si>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</si>
  <si>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</si>
  <si>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</si>
  <si>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</si>
  <si>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</si>
  <si>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</si>
  <si>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</si>
  <si>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</si>
  <si>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</si>
  <si>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A</t>
  </si>
  <si>
    <t>GRUPO B</t>
  </si>
  <si>
    <t>B1</t>
  </si>
  <si>
    <t>Repouso Semanal Remunerado</t>
  </si>
  <si>
    <t>B2</t>
  </si>
  <si>
    <t>Feriados</t>
  </si>
  <si>
    <t>B3</t>
  </si>
  <si>
    <t>Auxílio Enfermidade</t>
  </si>
  <si>
    <t>B4</t>
  </si>
  <si>
    <t>13º Salário</t>
  </si>
  <si>
    <t>B5</t>
  </si>
  <si>
    <t>Licença Paternidade</t>
  </si>
  <si>
    <t>B6</t>
  </si>
  <si>
    <t>Faltas Justificadas</t>
  </si>
  <si>
    <t>B7</t>
  </si>
  <si>
    <t>Dias de Chuvas</t>
  </si>
  <si>
    <t>B8</t>
  </si>
  <si>
    <t>Auxílio Acidente de Trabalho</t>
  </si>
  <si>
    <t>B9</t>
  </si>
  <si>
    <t>Férias Gozadas</t>
  </si>
  <si>
    <t>B10</t>
  </si>
  <si>
    <t>Salário Maternidade</t>
  </si>
  <si>
    <t>B</t>
  </si>
  <si>
    <t>GRUPO C</t>
  </si>
  <si>
    <t>C1</t>
  </si>
  <si>
    <t>Aviso Prévio Indenizado</t>
  </si>
  <si>
    <t>C2</t>
  </si>
  <si>
    <t>Aviso Prévio Trabalhado</t>
  </si>
  <si>
    <t>C3</t>
  </si>
  <si>
    <t>Férias Indenizadas</t>
  </si>
  <si>
    <t>C4</t>
  </si>
  <si>
    <t>Depósito Rescisão Sem Justa Causa</t>
  </si>
  <si>
    <t>C5</t>
  </si>
  <si>
    <t>Indenização Adicional</t>
  </si>
  <si>
    <t>C</t>
  </si>
  <si>
    <t>GRUPO D</t>
  </si>
  <si>
    <t>D1</t>
  </si>
  <si>
    <t>Reincidência de Grupo A sobre Grupo B</t>
  </si>
  <si>
    <t>D2</t>
  </si>
  <si>
    <t>Reincidência de Grupo A sobre Aviso Prévio Trabalhado e Reincidência de FGTS sobre Aviso Prévio Indenizado</t>
  </si>
  <si>
    <t>D</t>
  </si>
  <si>
    <t>TOTAL (A+B+C+D) - %</t>
  </si>
  <si>
    <t>Obs: Caso a empresa seja optante pelo Simples Nacional colocar os encargos conforme seu cadastramento no sistema e comprovar essa faixa utilizada para a Administração</t>
  </si>
</sst>
</file>

<file path=xl/styles.xml><?xml version="1.0" encoding="utf-8"?>
<styleSheet xmlns="http://schemas.openxmlformats.org/spreadsheetml/2006/main">
  <numFmts count="21">
    <numFmt numFmtId="176" formatCode="0.00_ "/>
    <numFmt numFmtId="177" formatCode="&quot; R$&quot;#,##0.00&quot; &quot;;&quot; R$(&quot;#,##0.00&quot;)&quot;;&quot; R$-&quot;#&quot; &quot;;@&quot; &quot;"/>
    <numFmt numFmtId="178" formatCode="_ * #,##0_ ;_ * \-#,##0_ ;_ * &quot;-&quot;_ ;_ @_ "/>
    <numFmt numFmtId="179" formatCode="#,##0.00000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80" formatCode="#,##0.0000"/>
    <numFmt numFmtId="181" formatCode="0.0000"/>
    <numFmt numFmtId="182" formatCode="#,##0.00&quot; &quot;;&quot; (&quot;#,##0.00&quot;)&quot;;&quot;-&quot;#&quot; &quot;;@&quot; &quot;"/>
    <numFmt numFmtId="183" formatCode="_-* #,##0.00_-;\-* #,##0.00_-;_-* &quot;-&quot;??_-;_-@_-"/>
    <numFmt numFmtId="43" formatCode="_(* #,##0.00_);_(* \(#,##0.00\);_(* &quot;-&quot;??_);_(@_)"/>
    <numFmt numFmtId="184" formatCode="#,##0.000"/>
    <numFmt numFmtId="185" formatCode="0.000%"/>
    <numFmt numFmtId="186" formatCode="0.000"/>
    <numFmt numFmtId="187" formatCode="&quot;(1 + &quot;#,##0.00000&quot;) x&quot;"/>
    <numFmt numFmtId="188" formatCode="&quot;(1 + &quot;#,##0.00000&quot;)&quot;"/>
    <numFmt numFmtId="189" formatCode="&quot;(1 - &quot;#,##0.00000&quot;)&quot;"/>
    <numFmt numFmtId="190" formatCode="&quot;( &quot;#,##0.00000&quot;)&quot;"/>
    <numFmt numFmtId="191" formatCode="&quot;( &quot;#,##0.00000&quot;) x&quot;"/>
    <numFmt numFmtId="192" formatCode="&quot;R$&quot;#,##0.00"/>
    <numFmt numFmtId="193" formatCode="&quot;R$&quot;\ #,##0.00"/>
  </numFmts>
  <fonts count="68">
    <font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b/>
      <sz val="12"/>
      <color rgb="FF000000"/>
      <name val="Times New Roman"/>
      <charset val="134"/>
    </font>
    <font>
      <b/>
      <sz val="12"/>
      <color theme="1"/>
      <name val="Times New Roman"/>
      <charset val="134"/>
    </font>
    <font>
      <sz val="11"/>
      <color theme="1"/>
      <name val="Times New Roman"/>
      <charset val="134"/>
    </font>
    <font>
      <b/>
      <sz val="13"/>
      <color rgb="FF000000"/>
      <name val="Times New Roman"/>
      <charset val="134"/>
    </font>
    <font>
      <b/>
      <sz val="11"/>
      <color rgb="FF000000"/>
      <name val="Times New Roman"/>
      <charset val="134"/>
    </font>
    <font>
      <b/>
      <sz val="12"/>
      <color rgb="FFFFFFFF"/>
      <name val="Times New Roman"/>
      <charset val="134"/>
    </font>
    <font>
      <sz val="12"/>
      <color rgb="FF000000"/>
      <name val="Times New Roman"/>
      <charset val="134"/>
    </font>
    <font>
      <b/>
      <i/>
      <sz val="12"/>
      <color rgb="FF000000"/>
      <name val="Times New Roman"/>
      <charset val="134"/>
    </font>
    <font>
      <sz val="11"/>
      <color rgb="FF800000"/>
      <name val="Times New Roman"/>
      <charset val="134"/>
    </font>
    <font>
      <sz val="12"/>
      <color theme="1"/>
      <name val="Calibri"/>
      <charset val="134"/>
      <scheme val="minor"/>
    </font>
    <font>
      <b/>
      <sz val="12"/>
      <name val="Times New Roman"/>
      <charset val="134"/>
    </font>
    <font>
      <sz val="12"/>
      <name val="Times New Roman"/>
      <charset val="134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sz val="9"/>
      <color theme="1"/>
      <name val="Times New Roman"/>
      <charset val="134"/>
    </font>
    <font>
      <b/>
      <sz val="11"/>
      <color theme="1"/>
      <name val="Calibri"/>
      <charset val="134"/>
      <scheme val="minor"/>
    </font>
    <font>
      <sz val="8"/>
      <color theme="1"/>
      <name val="Times New Roman"/>
      <charset val="134"/>
    </font>
    <font>
      <b/>
      <sz val="8"/>
      <name val="Times New Roman"/>
      <charset val="134"/>
    </font>
    <font>
      <sz val="8"/>
      <color rgb="FF000000"/>
      <name val="Times New Roman"/>
      <charset val="134"/>
    </font>
    <font>
      <sz val="8"/>
      <name val="Times New Roman"/>
      <charset val="134"/>
    </font>
    <font>
      <b/>
      <sz val="8"/>
      <color rgb="FF000000"/>
      <name val="Times New Roman"/>
      <charset val="134"/>
    </font>
    <font>
      <b/>
      <sz val="8"/>
      <color rgb="FFFF0000"/>
      <name val="Times New Roman"/>
      <charset val="134"/>
    </font>
    <font>
      <sz val="11"/>
      <name val="Times New Roman"/>
      <charset val="134"/>
    </font>
    <font>
      <sz val="8"/>
      <color rgb="FFFF0000"/>
      <name val="Times New Roman"/>
      <charset val="134"/>
    </font>
    <font>
      <sz val="10"/>
      <name val="Times New Roman"/>
      <charset val="134"/>
    </font>
    <font>
      <b/>
      <sz val="12"/>
      <color theme="1"/>
      <name val="Calibri"/>
      <charset val="134"/>
      <scheme val="minor"/>
    </font>
    <font>
      <sz val="9"/>
      <color theme="1"/>
      <name val="Arial"/>
      <charset val="134"/>
    </font>
    <font>
      <b/>
      <sz val="10"/>
      <name val="Times New Roman"/>
      <charset val="134"/>
    </font>
    <font>
      <sz val="10"/>
      <color rgb="FF000000"/>
      <name val="Times New Roman"/>
      <charset val="134"/>
    </font>
    <font>
      <sz val="11.25"/>
      <color rgb="FF353C41"/>
      <name val="Helvetica"/>
      <charset val="134"/>
    </font>
    <font>
      <sz val="10"/>
      <color indexed="8"/>
      <name val="Times New Roman"/>
      <charset val="134"/>
    </font>
    <font>
      <sz val="9"/>
      <name val="Arial"/>
      <charset val="134"/>
    </font>
    <font>
      <b/>
      <sz val="8"/>
      <color theme="1"/>
      <name val="Times New Roman"/>
      <charset val="134"/>
    </font>
    <font>
      <sz val="8"/>
      <color theme="1"/>
      <name val="Arial"/>
      <charset val="134"/>
    </font>
    <font>
      <sz val="10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sz val="9"/>
      <color rgb="FFFF0000"/>
      <name val="Calibri"/>
      <charset val="134"/>
      <scheme val="minor"/>
    </font>
    <font>
      <sz val="11"/>
      <color rgb="FF000000"/>
      <name val="Arial1"/>
      <charset val="134"/>
    </font>
    <font>
      <b/>
      <i/>
      <sz val="8"/>
      <color rgb="FF000000"/>
      <name val="Times New Roman"/>
      <charset val="134"/>
    </font>
    <font>
      <sz val="11"/>
      <color rgb="FFFF0000"/>
      <name val="Arial1"/>
      <charset val="134"/>
    </font>
    <font>
      <sz val="9"/>
      <name val="Times New Roman"/>
      <charset val="134"/>
    </font>
    <font>
      <sz val="11"/>
      <color rgb="FF3F3F76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0"/>
      <name val="Arial"/>
      <charset val="134"/>
    </font>
    <font>
      <b/>
      <sz val="13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0"/>
      <color rgb="FF000000"/>
      <name val="Arial"/>
      <charset val="134"/>
    </font>
    <font>
      <sz val="10"/>
      <color rgb="FF000000"/>
      <name val="Arial1"/>
      <charset val="134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000000"/>
      <name val="Calibri"/>
      <charset val="134"/>
    </font>
    <font>
      <sz val="11"/>
      <color rgb="FF800000"/>
      <name val="Calibri1"/>
      <charset val="134"/>
    </font>
    <font>
      <b/>
      <i/>
      <sz val="12"/>
      <color rgb="FF0000FF"/>
      <name val="Times New Roman"/>
      <charset val="134"/>
    </font>
  </fonts>
  <fills count="49">
    <fill>
      <patternFill patternType="none"/>
    </fill>
    <fill>
      <patternFill patternType="gray125"/>
    </fill>
    <fill>
      <patternFill patternType="solid">
        <fgColor theme="0" tint="-0.149906918546098"/>
        <bgColor indexed="64"/>
      </patternFill>
    </fill>
    <fill>
      <patternFill patternType="solid">
        <fgColor rgb="FFDDDDDD"/>
        <bgColor rgb="FFDDDDDD"/>
      </patternFill>
    </fill>
    <fill>
      <patternFill patternType="solid">
        <fgColor rgb="FFEEEEEE"/>
        <bgColor rgb="FFEEEEEE"/>
      </patternFill>
    </fill>
    <fill>
      <patternFill patternType="solid">
        <fgColor rgb="FF333399"/>
        <bgColor rgb="FF333399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8764000366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845881527146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0" fontId="47" fillId="20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/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45" fillId="19" borderId="40" applyNumberFormat="0" applyAlignment="0" applyProtection="0">
      <alignment vertical="center"/>
    </xf>
    <xf numFmtId="0" fontId="50" fillId="0" borderId="41" applyNumberFormat="0" applyFill="0" applyAlignment="0" applyProtection="0">
      <alignment vertical="center"/>
    </xf>
    <xf numFmtId="0" fontId="0" fillId="29" borderId="44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182" fontId="55" fillId="0" borderId="0"/>
    <xf numFmtId="0" fontId="48" fillId="34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64" fillId="0" borderId="41" applyNumberFormat="0" applyFill="0" applyAlignment="0" applyProtection="0">
      <alignment vertical="center"/>
    </xf>
    <xf numFmtId="0" fontId="44" fillId="0" borderId="39" applyNumberFormat="0" applyFill="0" applyAlignment="0" applyProtection="0">
      <alignment vertical="center"/>
    </xf>
    <xf numFmtId="0" fontId="54" fillId="0" borderId="0" applyNumberFormat="0" applyBorder="0" applyProtection="0"/>
    <xf numFmtId="0" fontId="44" fillId="0" borderId="0" applyNumberFormat="0" applyFill="0" applyBorder="0" applyAlignment="0" applyProtection="0">
      <alignment vertical="center"/>
    </xf>
    <xf numFmtId="0" fontId="30" fillId="0" borderId="0" applyNumberFormat="0" applyBorder="0" applyProtection="0"/>
    <xf numFmtId="0" fontId="43" fillId="18" borderId="38" applyNumberFormat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2" fillId="28" borderId="43" applyNumberFormat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62" fillId="28" borderId="38" applyNumberFormat="0" applyAlignment="0" applyProtection="0">
      <alignment vertical="center"/>
    </xf>
    <xf numFmtId="0" fontId="51" fillId="0" borderId="42" applyNumberFormat="0" applyFill="0" applyAlignment="0" applyProtection="0">
      <alignment vertical="center"/>
    </xf>
    <xf numFmtId="0" fontId="60" fillId="0" borderId="45" applyNumberFormat="0" applyFill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4" fillId="0" borderId="0" applyNumberFormat="0" applyBorder="0" applyProtection="0"/>
    <xf numFmtId="0" fontId="0" fillId="0" borderId="0">
      <alignment vertical="center"/>
    </xf>
    <xf numFmtId="0" fontId="48" fillId="38" borderId="0" applyNumberFormat="0" applyBorder="0" applyAlignment="0" applyProtection="0">
      <alignment vertical="center"/>
    </xf>
    <xf numFmtId="0" fontId="39" fillId="0" borderId="0"/>
    <xf numFmtId="0" fontId="47" fillId="42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177" fontId="55" fillId="0" borderId="0" applyBorder="0" applyProtection="0"/>
    <xf numFmtId="0" fontId="47" fillId="31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6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182" fontId="55" fillId="0" borderId="0" applyBorder="0" applyProtection="0"/>
    <xf numFmtId="0" fontId="66" fillId="0" borderId="0" applyNumberFormat="0" applyBorder="0" applyProtection="0"/>
    <xf numFmtId="0" fontId="65" fillId="0" borderId="0"/>
  </cellStyleXfs>
  <cellXfs count="791">
    <xf numFmtId="0" fontId="0" fillId="0" borderId="0" xfId="0"/>
    <xf numFmtId="0" fontId="1" fillId="0" borderId="0" xfId="0" applyFont="1"/>
    <xf numFmtId="0" fontId="2" fillId="2" borderId="1" xfId="36" applyFont="1" applyFill="1" applyBorder="1" applyAlignment="1">
      <alignment horizontal="center" vertical="center"/>
    </xf>
    <xf numFmtId="0" fontId="1" fillId="0" borderId="2" xfId="36" applyFont="1" applyBorder="1" applyAlignment="1">
      <alignment horizontal="center"/>
    </xf>
    <xf numFmtId="0" fontId="1" fillId="0" borderId="3" xfId="36" applyFont="1" applyBorder="1" applyAlignment="1">
      <alignment horizontal="center"/>
    </xf>
    <xf numFmtId="0" fontId="1" fillId="0" borderId="4" xfId="36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36" applyFont="1" applyBorder="1" applyAlignment="1">
      <alignment horizontal="center" vertical="center"/>
    </xf>
    <xf numFmtId="0" fontId="3" fillId="0" borderId="1" xfId="36" applyFont="1" applyBorder="1" applyAlignment="1">
      <alignment horizontal="center" vertical="center" wrapText="1"/>
    </xf>
    <xf numFmtId="43" fontId="3" fillId="0" borderId="1" xfId="4" applyFont="1" applyBorder="1" applyAlignment="1">
      <alignment horizontal="center" vertical="center" wrapText="1"/>
    </xf>
    <xf numFmtId="0" fontId="3" fillId="0" borderId="1" xfId="36" applyFont="1" applyBorder="1" applyAlignment="1">
      <alignment horizontal="center" vertical="top"/>
    </xf>
    <xf numFmtId="0" fontId="1" fillId="0" borderId="1" xfId="36" applyFont="1" applyBorder="1" applyAlignment="1">
      <alignment horizontal="center" vertical="center"/>
    </xf>
    <xf numFmtId="0" fontId="1" fillId="0" borderId="1" xfId="36" applyFont="1" applyBorder="1" applyAlignment="1">
      <alignment horizontal="left" vertical="center" wrapText="1"/>
    </xf>
    <xf numFmtId="43" fontId="1" fillId="0" borderId="1" xfId="4" applyFont="1" applyBorder="1" applyAlignment="1">
      <alignment horizontal="left" vertical="center"/>
    </xf>
    <xf numFmtId="0" fontId="3" fillId="0" borderId="1" xfId="36" applyFont="1" applyBorder="1" applyAlignment="1">
      <alignment horizontal="left" vertical="center" wrapText="1"/>
    </xf>
    <xf numFmtId="43" fontId="3" fillId="0" borderId="1" xfId="4" applyFont="1" applyBorder="1" applyAlignment="1">
      <alignment horizontal="left" vertical="center"/>
    </xf>
    <xf numFmtId="0" fontId="3" fillId="0" borderId="1" xfId="36" applyFont="1" applyBorder="1" applyAlignment="1">
      <alignment horizontal="left" vertical="top" wrapText="1"/>
    </xf>
    <xf numFmtId="0" fontId="3" fillId="0" borderId="1" xfId="36" applyFont="1" applyBorder="1" applyAlignment="1">
      <alignment horizontal="right" vertical="top"/>
    </xf>
    <xf numFmtId="0" fontId="3" fillId="0" borderId="0" xfId="0" applyFont="1" applyAlignment="1">
      <alignment horizontal="left" wrapText="1"/>
    </xf>
    <xf numFmtId="0" fontId="4" fillId="0" borderId="0" xfId="0" applyFont="1"/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2" fillId="0" borderId="0" xfId="35" applyFont="1" applyFill="1" applyAlignment="1" applyProtection="1">
      <alignment horizontal="left"/>
    </xf>
    <xf numFmtId="0" fontId="2" fillId="0" borderId="0" xfId="24" applyFont="1" applyFill="1" applyAlignment="1" applyProtection="1">
      <alignment vertical="center" wrapText="1"/>
    </xf>
    <xf numFmtId="0" fontId="7" fillId="5" borderId="7" xfId="22" applyFont="1" applyFill="1" applyBorder="1" applyAlignment="1" applyProtection="1">
      <alignment horizontal="center" vertical="center" wrapText="1"/>
    </xf>
    <xf numFmtId="0" fontId="4" fillId="0" borderId="8" xfId="0" applyFont="1" applyFill="1" applyBorder="1"/>
    <xf numFmtId="0" fontId="8" fillId="0" borderId="0" xfId="22" applyFont="1" applyFill="1" applyAlignment="1" applyProtection="1">
      <alignment horizontal="center"/>
    </xf>
    <xf numFmtId="0" fontId="8" fillId="0" borderId="0" xfId="22" applyFont="1" applyFill="1" applyAlignment="1" applyProtection="1"/>
    <xf numFmtId="0" fontId="2" fillId="0" borderId="9" xfId="22" applyFont="1" applyFill="1" applyBorder="1" applyAlignment="1" applyProtection="1">
      <alignment horizontal="center" vertical="center"/>
    </xf>
    <xf numFmtId="0" fontId="2" fillId="0" borderId="9" xfId="22" applyFont="1" applyFill="1" applyBorder="1" applyAlignment="1" applyProtection="1">
      <alignment horizontal="center"/>
    </xf>
    <xf numFmtId="0" fontId="8" fillId="0" borderId="10" xfId="22" applyFont="1" applyFill="1" applyBorder="1" applyAlignment="1" applyProtection="1">
      <alignment horizontal="center"/>
    </xf>
    <xf numFmtId="10" fontId="8" fillId="0" borderId="9" xfId="22" applyNumberFormat="1" applyFont="1" applyFill="1" applyBorder="1" applyAlignment="1" applyProtection="1">
      <alignment horizontal="center"/>
    </xf>
    <xf numFmtId="10" fontId="2" fillId="0" borderId="9" xfId="22" applyNumberFormat="1" applyFont="1" applyFill="1" applyBorder="1" applyAlignment="1" applyProtection="1">
      <alignment horizontal="center"/>
    </xf>
    <xf numFmtId="0" fontId="8" fillId="0" borderId="11" xfId="22" applyFont="1" applyFill="1" applyBorder="1" applyAlignment="1" applyProtection="1">
      <alignment horizontal="center"/>
    </xf>
    <xf numFmtId="0" fontId="2" fillId="0" borderId="7" xfId="22" applyFont="1" applyFill="1" applyBorder="1" applyAlignment="1" applyProtection="1">
      <alignment horizontal="center"/>
    </xf>
    <xf numFmtId="0" fontId="2" fillId="0" borderId="10" xfId="22" applyFont="1" applyFill="1" applyBorder="1" applyAlignment="1" applyProtection="1">
      <alignment horizontal="center"/>
    </xf>
    <xf numFmtId="185" fontId="8" fillId="0" borderId="9" xfId="22" applyNumberFormat="1" applyFont="1" applyFill="1" applyBorder="1" applyAlignment="1" applyProtection="1">
      <alignment horizontal="center"/>
    </xf>
    <xf numFmtId="185" fontId="2" fillId="0" borderId="9" xfId="22" applyNumberFormat="1" applyFont="1" applyFill="1" applyBorder="1" applyAlignment="1" applyProtection="1">
      <alignment horizontal="center"/>
    </xf>
    <xf numFmtId="0" fontId="2" fillId="0" borderId="9" xfId="22" applyFont="1" applyFill="1" applyBorder="1" applyAlignment="1" applyProtection="1">
      <alignment horizontal="right"/>
    </xf>
    <xf numFmtId="0" fontId="8" fillId="0" borderId="9" xfId="22" applyFont="1" applyFill="1" applyBorder="1" applyAlignment="1" applyProtection="1">
      <alignment horizontal="right" vertical="top"/>
    </xf>
    <xf numFmtId="0" fontId="8" fillId="0" borderId="9" xfId="22" applyFont="1" applyFill="1" applyBorder="1" applyAlignment="1" applyProtection="1">
      <alignment wrapText="1"/>
    </xf>
    <xf numFmtId="0" fontId="8" fillId="0" borderId="9" xfId="22" applyFont="1" applyFill="1" applyBorder="1" applyAlignment="1" applyProtection="1">
      <alignment horizontal="right"/>
    </xf>
    <xf numFmtId="0" fontId="8" fillId="0" borderId="9" xfId="22" applyFont="1" applyFill="1" applyBorder="1" applyAlignment="1" applyProtection="1"/>
    <xf numFmtId="0" fontId="8" fillId="0" borderId="5" xfId="22" applyFont="1" applyFill="1" applyBorder="1" applyAlignment="1" applyProtection="1">
      <alignment horizontal="center" vertical="center"/>
    </xf>
    <xf numFmtId="0" fontId="8" fillId="0" borderId="6" xfId="22" applyFont="1" applyFill="1" applyBorder="1" applyAlignment="1" applyProtection="1">
      <alignment horizontal="center"/>
    </xf>
    <xf numFmtId="49" fontId="8" fillId="0" borderId="12" xfId="22" applyNumberFormat="1" applyFont="1" applyFill="1" applyBorder="1" applyAlignment="1" applyProtection="1">
      <alignment horizontal="center" vertical="center"/>
    </xf>
    <xf numFmtId="0" fontId="8" fillId="0" borderId="13" xfId="22" applyFont="1" applyFill="1" applyBorder="1" applyAlignment="1" applyProtection="1">
      <alignment horizontal="center"/>
    </xf>
    <xf numFmtId="187" fontId="8" fillId="0" borderId="6" xfId="22" applyNumberFormat="1" applyFont="1" applyFill="1" applyBorder="1" applyAlignment="1" applyProtection="1">
      <alignment horizontal="center"/>
    </xf>
    <xf numFmtId="188" fontId="8" fillId="0" borderId="6" xfId="22" applyNumberFormat="1" applyFont="1" applyFill="1" applyBorder="1" applyAlignment="1" applyProtection="1">
      <alignment horizontal="center"/>
    </xf>
    <xf numFmtId="189" fontId="8" fillId="0" borderId="13" xfId="22" applyNumberFormat="1" applyFont="1" applyFill="1" applyBorder="1" applyAlignment="1" applyProtection="1">
      <alignment horizontal="center"/>
    </xf>
    <xf numFmtId="191" fontId="8" fillId="0" borderId="6" xfId="22" applyNumberFormat="1" applyFont="1" applyFill="1" applyBorder="1" applyAlignment="1" applyProtection="1">
      <alignment horizontal="center"/>
    </xf>
    <xf numFmtId="190" fontId="8" fillId="0" borderId="6" xfId="22" applyNumberFormat="1" applyFont="1" applyFill="1" applyBorder="1" applyAlignment="1" applyProtection="1">
      <alignment horizontal="center"/>
    </xf>
    <xf numFmtId="190" fontId="8" fillId="0" borderId="13" xfId="22" applyNumberFormat="1" applyFont="1" applyFill="1" applyBorder="1" applyAlignment="1" applyProtection="1">
      <alignment horizontal="center"/>
    </xf>
    <xf numFmtId="49" fontId="8" fillId="0" borderId="12" xfId="22" applyNumberFormat="1" applyFont="1" applyFill="1" applyBorder="1" applyAlignment="1" applyProtection="1">
      <alignment horizontal="left" vertical="center"/>
    </xf>
    <xf numFmtId="180" fontId="8" fillId="0" borderId="6" xfId="22" applyNumberFormat="1" applyFont="1" applyFill="1" applyBorder="1" applyAlignment="1" applyProtection="1">
      <alignment horizontal="center" vertical="center"/>
    </xf>
    <xf numFmtId="0" fontId="7" fillId="5" borderId="5" xfId="22" applyFont="1" applyFill="1" applyBorder="1" applyAlignment="1" applyProtection="1">
      <alignment horizontal="right" vertical="center"/>
    </xf>
    <xf numFmtId="10" fontId="7" fillId="5" borderId="12" xfId="22" applyNumberFormat="1" applyFont="1" applyFill="1" applyBorder="1" applyAlignment="1" applyProtection="1">
      <alignment horizontal="left" vertical="center"/>
    </xf>
    <xf numFmtId="0" fontId="9" fillId="0" borderId="0" xfId="22" applyFont="1" applyFill="1" applyAlignment="1" applyProtection="1">
      <alignment wrapText="1"/>
    </xf>
    <xf numFmtId="0" fontId="9" fillId="0" borderId="0" xfId="22" applyFont="1" applyFill="1" applyAlignment="1" applyProtection="1">
      <alignment horizontal="left" wrapText="1"/>
    </xf>
    <xf numFmtId="0" fontId="9" fillId="0" borderId="0" xfId="22" applyFont="1" applyFill="1" applyAlignment="1" applyProtection="1">
      <alignment horizontal="left" vertical="center" wrapText="1"/>
    </xf>
    <xf numFmtId="0" fontId="5" fillId="3" borderId="1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0" fillId="0" borderId="0" xfId="58" applyFont="1" applyFill="1" applyAlignment="1" applyProtection="1">
      <alignment vertical="center" wrapText="1"/>
    </xf>
    <xf numFmtId="0" fontId="2" fillId="0" borderId="9" xfId="22" applyFont="1" applyFill="1" applyBorder="1" applyAlignment="1" applyProtection="1">
      <alignment horizontal="center" vertical="center" wrapText="1"/>
    </xf>
    <xf numFmtId="179" fontId="8" fillId="0" borderId="7" xfId="22" applyNumberFormat="1" applyFont="1" applyFill="1" applyBorder="1" applyAlignment="1" applyProtection="1">
      <alignment horizontal="center"/>
    </xf>
    <xf numFmtId="185" fontId="2" fillId="0" borderId="7" xfId="22" applyNumberFormat="1" applyFont="1" applyFill="1" applyBorder="1" applyAlignment="1" applyProtection="1">
      <alignment horizontal="center"/>
    </xf>
    <xf numFmtId="10" fontId="2" fillId="0" borderId="9" xfId="22" applyNumberFormat="1" applyFont="1" applyFill="1" applyBorder="1" applyAlignment="1" applyProtection="1"/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11" fillId="0" borderId="0" xfId="0" applyFont="1"/>
    <xf numFmtId="0" fontId="0" fillId="0" borderId="0" xfId="0" applyFont="1"/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2" fillId="6" borderId="17" xfId="0" applyFont="1" applyFill="1" applyBorder="1" applyAlignment="1">
      <alignment vertical="center" wrapText="1"/>
    </xf>
    <xf numFmtId="0" fontId="3" fillId="7" borderId="14" xfId="0" applyFont="1" applyFill="1" applyBorder="1" applyAlignment="1">
      <alignment horizontal="left"/>
    </xf>
    <xf numFmtId="0" fontId="3" fillId="7" borderId="15" xfId="0" applyFont="1" applyFill="1" applyBorder="1" applyAlignment="1">
      <alignment horizontal="left"/>
    </xf>
    <xf numFmtId="0" fontId="3" fillId="7" borderId="18" xfId="0" applyFont="1" applyFill="1" applyBorder="1" applyAlignment="1">
      <alignment horizontal="left"/>
    </xf>
    <xf numFmtId="0" fontId="3" fillId="8" borderId="19" xfId="0" applyFont="1" applyFill="1" applyBorder="1" applyAlignment="1">
      <alignment horizontal="center" vertical="center" wrapText="1"/>
    </xf>
    <xf numFmtId="0" fontId="3" fillId="8" borderId="20" xfId="0" applyFont="1" applyFill="1" applyBorder="1" applyAlignment="1">
      <alignment horizontal="center" vertical="center"/>
    </xf>
    <xf numFmtId="0" fontId="3" fillId="8" borderId="21" xfId="0" applyFont="1" applyFill="1" applyBorder="1" applyAlignment="1">
      <alignment horizontal="center"/>
    </xf>
    <xf numFmtId="0" fontId="3" fillId="8" borderId="22" xfId="0" applyFont="1" applyFill="1" applyBorder="1" applyAlignment="1">
      <alignment horizontal="center"/>
    </xf>
    <xf numFmtId="49" fontId="1" fillId="9" borderId="23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9" borderId="2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right" vertical="center" wrapText="1"/>
    </xf>
    <xf numFmtId="2" fontId="13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2" fontId="1" fillId="9" borderId="1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right" vertical="center" wrapText="1"/>
    </xf>
    <xf numFmtId="183" fontId="13" fillId="0" borderId="0" xfId="2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right" vertical="center"/>
    </xf>
    <xf numFmtId="183" fontId="13" fillId="0" borderId="0" xfId="2" applyFont="1" applyFill="1" applyBorder="1" applyAlignment="1">
      <alignment horizontal="center" vertical="center" wrapText="1"/>
    </xf>
    <xf numFmtId="49" fontId="1" fillId="9" borderId="23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2" fontId="13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3" fillId="8" borderId="22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right" vertical="center" wrapText="1"/>
    </xf>
    <xf numFmtId="49" fontId="1" fillId="0" borderId="0" xfId="0" applyNumberFormat="1" applyFont="1" applyBorder="1" applyAlignment="1">
      <alignment horizontal="center" vertical="center"/>
    </xf>
    <xf numFmtId="183" fontId="1" fillId="0" borderId="0" xfId="2" applyFont="1" applyBorder="1" applyAlignment="1">
      <alignment horizontal="center" vertical="center"/>
    </xf>
    <xf numFmtId="183" fontId="1" fillId="0" borderId="0" xfId="2" applyFont="1" applyBorder="1" applyAlignment="1">
      <alignment horizontal="center" vertical="center" wrapText="1"/>
    </xf>
    <xf numFmtId="0" fontId="3" fillId="8" borderId="25" xfId="0" applyFont="1" applyFill="1" applyBorder="1" applyAlignment="1">
      <alignment horizontal="center" vertical="center" wrapText="1"/>
    </xf>
    <xf numFmtId="49" fontId="1" fillId="9" borderId="1" xfId="0" applyNumberFormat="1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right" vertical="center" wrapText="1"/>
    </xf>
    <xf numFmtId="0" fontId="12" fillId="8" borderId="19" xfId="0" applyFont="1" applyFill="1" applyBorder="1" applyAlignment="1">
      <alignment horizontal="center" vertical="center" wrapText="1"/>
    </xf>
    <xf numFmtId="0" fontId="3" fillId="8" borderId="26" xfId="0" applyFont="1" applyFill="1" applyBorder="1" applyAlignment="1">
      <alignment horizontal="center" vertical="center"/>
    </xf>
    <xf numFmtId="0" fontId="3" fillId="8" borderId="21" xfId="0" applyFont="1" applyFill="1" applyBorder="1" applyAlignment="1">
      <alignment horizontal="center" vertical="center"/>
    </xf>
    <xf numFmtId="0" fontId="3" fillId="8" borderId="27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 wrapText="1"/>
    </xf>
    <xf numFmtId="0" fontId="3" fillId="7" borderId="0" xfId="0" applyFont="1" applyFill="1" applyBorder="1" applyAlignment="1">
      <alignment horizontal="left"/>
    </xf>
    <xf numFmtId="176" fontId="13" fillId="0" borderId="1" xfId="0" applyNumberFormat="1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right" vertical="center" wrapText="1"/>
    </xf>
    <xf numFmtId="0" fontId="13" fillId="0" borderId="28" xfId="0" applyFont="1" applyFill="1" applyBorder="1" applyAlignment="1">
      <alignment vertical="center" wrapText="1"/>
    </xf>
    <xf numFmtId="0" fontId="1" fillId="0" borderId="28" xfId="0" applyFont="1" applyBorder="1" applyAlignment="1">
      <alignment horizontal="center" vertical="center"/>
    </xf>
    <xf numFmtId="176" fontId="1" fillId="0" borderId="28" xfId="0" applyNumberFormat="1" applyFont="1" applyFill="1" applyBorder="1" applyAlignment="1">
      <alignment horizontal="center" vertical="center"/>
    </xf>
    <xf numFmtId="0" fontId="1" fillId="0" borderId="0" xfId="0" applyFont="1" applyBorder="1"/>
    <xf numFmtId="0" fontId="0" fillId="0" borderId="0" xfId="0" applyAlignment="1">
      <alignment horizontal="center" vertical="center"/>
    </xf>
    <xf numFmtId="10" fontId="0" fillId="0" borderId="0" xfId="0" applyNumberFormat="1"/>
    <xf numFmtId="0" fontId="14" fillId="2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4" fillId="2" borderId="2" xfId="0" applyNumberFormat="1" applyFont="1" applyFill="1" applyBorder="1" applyAlignment="1">
      <alignment horizontal="center" vertical="center"/>
    </xf>
    <xf numFmtId="0" fontId="14" fillId="2" borderId="3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58" fontId="15" fillId="0" borderId="0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14" fillId="0" borderId="0" xfId="0" applyFont="1" applyAlignment="1">
      <alignment vertical="center"/>
    </xf>
    <xf numFmtId="0" fontId="14" fillId="2" borderId="4" xfId="0" applyNumberFormat="1" applyFont="1" applyFill="1" applyBorder="1" applyAlignment="1">
      <alignment horizontal="center" vertical="center"/>
    </xf>
    <xf numFmtId="2" fontId="15" fillId="2" borderId="28" xfId="0" applyNumberFormat="1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textRotation="90"/>
    </xf>
    <xf numFmtId="2" fontId="15" fillId="2" borderId="29" xfId="0" applyNumberFormat="1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 textRotation="90"/>
    </xf>
    <xf numFmtId="10" fontId="0" fillId="0" borderId="1" xfId="0" applyNumberFormat="1" applyBorder="1" applyAlignment="1">
      <alignment vertical="center"/>
    </xf>
    <xf numFmtId="0" fontId="0" fillId="10" borderId="14" xfId="0" applyFill="1" applyBorder="1" applyAlignment="1">
      <alignment horizontal="center" vertical="center" textRotation="255"/>
    </xf>
    <xf numFmtId="0" fontId="0" fillId="10" borderId="16" xfId="0" applyFill="1" applyBorder="1" applyAlignment="1">
      <alignment horizontal="center" vertical="center" textRotation="255"/>
    </xf>
    <xf numFmtId="0" fontId="0" fillId="10" borderId="30" xfId="0" applyFill="1" applyBorder="1" applyAlignment="1">
      <alignment horizontal="center" vertical="center" textRotation="255"/>
    </xf>
    <xf numFmtId="0" fontId="0" fillId="8" borderId="14" xfId="0" applyFill="1" applyBorder="1" applyAlignment="1">
      <alignment horizontal="center" vertical="center" textRotation="255"/>
    </xf>
    <xf numFmtId="0" fontId="0" fillId="8" borderId="16" xfId="0" applyFill="1" applyBorder="1" applyAlignment="1">
      <alignment horizontal="center" vertical="center" textRotation="255"/>
    </xf>
    <xf numFmtId="0" fontId="0" fillId="8" borderId="30" xfId="0" applyFill="1" applyBorder="1" applyAlignment="1">
      <alignment horizontal="center" vertical="center" textRotation="255"/>
    </xf>
    <xf numFmtId="0" fontId="0" fillId="7" borderId="28" xfId="0" applyFill="1" applyBorder="1" applyAlignment="1">
      <alignment horizontal="center" vertical="center" textRotation="255"/>
    </xf>
    <xf numFmtId="0" fontId="0" fillId="7" borderId="31" xfId="0" applyFill="1" applyBorder="1" applyAlignment="1">
      <alignment horizontal="center" vertical="center" textRotation="255"/>
    </xf>
    <xf numFmtId="186" fontId="0" fillId="0" borderId="0" xfId="0" applyNumberFormat="1"/>
    <xf numFmtId="0" fontId="0" fillId="7" borderId="29" xfId="0" applyFill="1" applyBorder="1" applyAlignment="1">
      <alignment horizontal="center" vertical="center" textRotation="255"/>
    </xf>
    <xf numFmtId="0" fontId="0" fillId="0" borderId="0" xfId="0" applyFont="1" applyFill="1" applyAlignment="1">
      <alignment vertical="center"/>
    </xf>
    <xf numFmtId="0" fontId="14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16" fillId="2" borderId="2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9" fillId="2" borderId="2" xfId="38" applyFont="1" applyFill="1" applyBorder="1" applyAlignment="1">
      <alignment horizontal="left" vertical="center"/>
    </xf>
    <xf numFmtId="0" fontId="19" fillId="2" borderId="3" xfId="38" applyFont="1" applyFill="1" applyBorder="1" applyAlignment="1">
      <alignment horizontal="left" vertical="center"/>
    </xf>
    <xf numFmtId="0" fontId="19" fillId="2" borderId="4" xfId="38" applyFont="1" applyFill="1" applyBorder="1" applyAlignment="1">
      <alignment horizontal="left" vertical="center"/>
    </xf>
    <xf numFmtId="0" fontId="19" fillId="0" borderId="1" xfId="38" applyFont="1" applyBorder="1" applyAlignment="1">
      <alignment vertical="center"/>
    </xf>
    <xf numFmtId="0" fontId="19" fillId="0" borderId="1" xfId="38" applyFont="1" applyBorder="1" applyAlignment="1">
      <alignment horizontal="center" vertical="center"/>
    </xf>
    <xf numFmtId="0" fontId="19" fillId="0" borderId="1" xfId="38" applyFont="1" applyBorder="1" applyAlignment="1">
      <alignment horizontal="right" vertical="center"/>
    </xf>
    <xf numFmtId="2" fontId="19" fillId="0" borderId="1" xfId="38" applyNumberFormat="1" applyFont="1" applyBorder="1" applyAlignment="1">
      <alignment horizontal="center" vertical="center"/>
    </xf>
    <xf numFmtId="0" fontId="20" fillId="0" borderId="1" xfId="38" applyFont="1" applyFill="1" applyBorder="1" applyAlignment="1">
      <alignment vertical="center" wrapText="1"/>
    </xf>
    <xf numFmtId="2" fontId="20" fillId="0" borderId="1" xfId="38" applyNumberFormat="1" applyFont="1" applyFill="1" applyBorder="1" applyAlignment="1">
      <alignment vertical="center" wrapText="1"/>
    </xf>
    <xf numFmtId="2" fontId="20" fillId="0" borderId="1" xfId="38" applyNumberFormat="1" applyFont="1" applyFill="1" applyBorder="1" applyAlignment="1">
      <alignment horizontal="right" vertical="center" wrapText="1"/>
    </xf>
    <xf numFmtId="0" fontId="18" fillId="0" borderId="3" xfId="0" applyFont="1" applyBorder="1" applyAlignment="1">
      <alignment horizontal="center" vertical="center"/>
    </xf>
    <xf numFmtId="0" fontId="19" fillId="0" borderId="1" xfId="38" applyFont="1" applyFill="1" applyBorder="1" applyAlignment="1">
      <alignment vertical="center"/>
    </xf>
    <xf numFmtId="0" fontId="19" fillId="0" borderId="1" xfId="38" applyFont="1" applyFill="1" applyBorder="1" applyAlignment="1">
      <alignment horizontal="center" vertical="center"/>
    </xf>
    <xf numFmtId="0" fontId="19" fillId="0" borderId="1" xfId="38" applyFont="1" applyFill="1" applyBorder="1" applyAlignment="1">
      <alignment horizontal="right" vertical="center"/>
    </xf>
    <xf numFmtId="2" fontId="19" fillId="0" borderId="1" xfId="38" applyNumberFormat="1" applyFont="1" applyFill="1" applyBorder="1" applyAlignment="1">
      <alignment horizontal="center" vertical="center"/>
    </xf>
    <xf numFmtId="0" fontId="21" fillId="0" borderId="1" xfId="38" applyFont="1" applyFill="1" applyBorder="1" applyAlignment="1">
      <alignment horizontal="right" vertical="center"/>
    </xf>
    <xf numFmtId="0" fontId="22" fillId="0" borderId="1" xfId="38" applyFont="1" applyFill="1" applyBorder="1" applyAlignment="1">
      <alignment vertical="center" wrapText="1"/>
    </xf>
    <xf numFmtId="0" fontId="20" fillId="0" borderId="3" xfId="38" applyFont="1" applyBorder="1" applyAlignment="1">
      <alignment horizontal="center" vertical="center"/>
    </xf>
    <xf numFmtId="0" fontId="19" fillId="0" borderId="2" xfId="38" applyFont="1" applyFill="1" applyBorder="1" applyAlignment="1">
      <alignment horizontal="left" vertical="center"/>
    </xf>
    <xf numFmtId="0" fontId="19" fillId="0" borderId="4" xfId="38" applyFont="1" applyFill="1" applyBorder="1" applyAlignment="1">
      <alignment horizontal="left" vertical="center"/>
    </xf>
    <xf numFmtId="0" fontId="22" fillId="0" borderId="2" xfId="38" applyFont="1" applyFill="1" applyBorder="1" applyAlignment="1">
      <alignment horizontal="left" vertical="center" wrapText="1"/>
    </xf>
    <xf numFmtId="0" fontId="22" fillId="0" borderId="4" xfId="38" applyFont="1" applyFill="1" applyBorder="1" applyAlignment="1">
      <alignment horizontal="left" vertical="center" wrapText="1"/>
    </xf>
    <xf numFmtId="0" fontId="20" fillId="0" borderId="1" xfId="38" applyFont="1" applyFill="1" applyBorder="1" applyAlignment="1">
      <alignment horizontal="right" vertical="center" wrapText="1"/>
    </xf>
    <xf numFmtId="2" fontId="20" fillId="0" borderId="1" xfId="38" applyNumberFormat="1" applyFont="1" applyFill="1" applyBorder="1" applyAlignment="1">
      <alignment horizontal="right" vertical="center"/>
    </xf>
    <xf numFmtId="0" fontId="20" fillId="0" borderId="2" xfId="38" applyFont="1" applyFill="1" applyBorder="1" applyAlignment="1">
      <alignment vertical="center" wrapText="1"/>
    </xf>
    <xf numFmtId="0" fontId="20" fillId="0" borderId="4" xfId="38" applyFont="1" applyFill="1" applyBorder="1" applyAlignment="1">
      <alignment vertical="center" wrapText="1"/>
    </xf>
    <xf numFmtId="0" fontId="20" fillId="0" borderId="2" xfId="38" applyFont="1" applyFill="1" applyBorder="1" applyAlignment="1">
      <alignment horizontal="left" vertical="center" wrapText="1"/>
    </xf>
    <xf numFmtId="0" fontId="20" fillId="0" borderId="4" xfId="38" applyFont="1" applyFill="1" applyBorder="1" applyAlignment="1">
      <alignment horizontal="left" vertical="center" wrapText="1"/>
    </xf>
    <xf numFmtId="0" fontId="20" fillId="0" borderId="2" xfId="38" applyFont="1" applyBorder="1" applyAlignment="1">
      <alignment horizontal="center" vertical="center" wrapText="1"/>
    </xf>
    <xf numFmtId="0" fontId="20" fillId="0" borderId="3" xfId="38" applyFont="1" applyBorder="1" applyAlignment="1">
      <alignment horizontal="center" vertical="center" wrapText="1"/>
    </xf>
    <xf numFmtId="0" fontId="20" fillId="0" borderId="4" xfId="38" applyFont="1" applyBorder="1" applyAlignment="1">
      <alignment horizontal="center" vertical="center" wrapText="1"/>
    </xf>
    <xf numFmtId="0" fontId="19" fillId="2" borderId="2" xfId="38" applyFont="1" applyFill="1" applyBorder="1" applyAlignment="1">
      <alignment horizontal="center" vertical="center" wrapText="1"/>
    </xf>
    <xf numFmtId="0" fontId="19" fillId="2" borderId="4" xfId="38" applyFont="1" applyFill="1" applyBorder="1" applyAlignment="1">
      <alignment horizontal="center" vertical="center" wrapText="1"/>
    </xf>
    <xf numFmtId="2" fontId="19" fillId="2" borderId="4" xfId="38" applyNumberFormat="1" applyFont="1" applyFill="1" applyBorder="1" applyAlignment="1">
      <alignment vertical="center" wrapText="1"/>
    </xf>
    <xf numFmtId="0" fontId="19" fillId="0" borderId="2" xfId="38" applyFont="1" applyBorder="1" applyAlignment="1">
      <alignment horizontal="left" vertical="center"/>
    </xf>
    <xf numFmtId="0" fontId="19" fillId="0" borderId="4" xfId="38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19" fillId="0" borderId="2" xfId="38" applyFont="1" applyBorder="1" applyAlignment="1">
      <alignment horizontal="right" vertical="center"/>
    </xf>
    <xf numFmtId="0" fontId="22" fillId="0" borderId="2" xfId="38" applyFont="1" applyBorder="1" applyAlignment="1">
      <alignment horizontal="left" vertical="center" wrapText="1"/>
    </xf>
    <xf numFmtId="0" fontId="22" fillId="0" borderId="4" xfId="38" applyFont="1" applyBorder="1" applyAlignment="1">
      <alignment horizontal="left" vertical="center" wrapText="1"/>
    </xf>
    <xf numFmtId="2" fontId="20" fillId="0" borderId="1" xfId="38" applyNumberFormat="1" applyFont="1" applyBorder="1" applyAlignment="1">
      <alignment horizontal="right" vertical="center" wrapText="1"/>
    </xf>
    <xf numFmtId="2" fontId="20" fillId="0" borderId="1" xfId="38" applyNumberFormat="1" applyFont="1" applyBorder="1" applyAlignment="1">
      <alignment vertical="center" wrapText="1"/>
    </xf>
    <xf numFmtId="0" fontId="20" fillId="0" borderId="3" xfId="38" applyFont="1" applyFill="1" applyBorder="1" applyAlignment="1">
      <alignment horizontal="left" vertical="center" wrapText="1"/>
    </xf>
    <xf numFmtId="2" fontId="20" fillId="0" borderId="4" xfId="38" applyNumberFormat="1" applyFont="1" applyFill="1" applyBorder="1" applyAlignment="1">
      <alignment horizontal="right" vertical="center" wrapText="1"/>
    </xf>
    <xf numFmtId="2" fontId="20" fillId="0" borderId="4" xfId="38" applyNumberFormat="1" applyFont="1" applyFill="1" applyBorder="1" applyAlignment="1">
      <alignment vertical="center" wrapText="1"/>
    </xf>
    <xf numFmtId="0" fontId="20" fillId="0" borderId="2" xfId="38" applyFont="1" applyBorder="1" applyAlignment="1">
      <alignment horizontal="left" vertical="center" wrapText="1"/>
    </xf>
    <xf numFmtId="0" fontId="20" fillId="0" borderId="3" xfId="38" applyFont="1" applyBorder="1" applyAlignment="1">
      <alignment horizontal="left" vertical="center" wrapText="1"/>
    </xf>
    <xf numFmtId="0" fontId="20" fillId="0" borderId="3" xfId="38" applyFont="1" applyBorder="1" applyAlignment="1">
      <alignment horizontal="right" vertical="center" wrapText="1"/>
    </xf>
    <xf numFmtId="0" fontId="20" fillId="0" borderId="4" xfId="38" applyFont="1" applyBorder="1" applyAlignment="1">
      <alignment horizontal="right" vertical="center" wrapText="1"/>
    </xf>
    <xf numFmtId="0" fontId="20" fillId="0" borderId="2" xfId="38" applyFont="1" applyBorder="1" applyAlignment="1">
      <alignment horizontal="right" vertical="center" wrapText="1"/>
    </xf>
    <xf numFmtId="2" fontId="20" fillId="0" borderId="4" xfId="38" applyNumberFormat="1" applyFont="1" applyBorder="1" applyAlignment="1">
      <alignment vertical="center" wrapText="1"/>
    </xf>
    <xf numFmtId="2" fontId="20" fillId="0" borderId="4" xfId="38" applyNumberFormat="1" applyFont="1" applyBorder="1" applyAlignment="1">
      <alignment horizontal="right" vertical="center"/>
    </xf>
    <xf numFmtId="2" fontId="22" fillId="0" borderId="1" xfId="38" applyNumberFormat="1" applyFont="1" applyFill="1" applyBorder="1" applyAlignment="1">
      <alignment horizontal="right" vertical="center" wrapText="1"/>
    </xf>
    <xf numFmtId="2" fontId="22" fillId="0" borderId="1" xfId="38" applyNumberFormat="1" applyFont="1" applyFill="1" applyBorder="1" applyAlignment="1">
      <alignment vertical="center" wrapText="1"/>
    </xf>
    <xf numFmtId="0" fontId="19" fillId="2" borderId="2" xfId="38" applyFont="1" applyFill="1" applyBorder="1" applyAlignment="1">
      <alignment horizontal="right" vertical="center" wrapText="1"/>
    </xf>
    <xf numFmtId="0" fontId="19" fillId="2" borderId="3" xfId="38" applyFont="1" applyFill="1" applyBorder="1" applyAlignment="1">
      <alignment horizontal="right" vertical="center" wrapText="1"/>
    </xf>
    <xf numFmtId="0" fontId="19" fillId="2" borderId="4" xfId="38" applyFont="1" applyFill="1" applyBorder="1" applyAlignment="1">
      <alignment horizontal="right" vertical="center" wrapText="1"/>
    </xf>
    <xf numFmtId="0" fontId="22" fillId="0" borderId="1" xfId="38" applyFont="1" applyBorder="1" applyAlignment="1">
      <alignment horizontal="left" vertical="center"/>
    </xf>
    <xf numFmtId="0" fontId="20" fillId="0" borderId="1" xfId="38" applyFont="1" applyBorder="1" applyAlignment="1">
      <alignment horizontal="left" vertical="center"/>
    </xf>
    <xf numFmtId="0" fontId="20" fillId="0" borderId="1" xfId="38" applyFont="1" applyBorder="1" applyAlignment="1">
      <alignment horizontal="right" vertical="center"/>
    </xf>
    <xf numFmtId="0" fontId="22" fillId="0" borderId="1" xfId="38" applyFont="1" applyBorder="1" applyAlignment="1">
      <alignment horizontal="center" vertical="center"/>
    </xf>
    <xf numFmtId="0" fontId="20" fillId="0" borderId="1" xfId="38" applyFont="1" applyFill="1" applyBorder="1" applyAlignment="1">
      <alignment horizontal="right" vertical="center"/>
    </xf>
    <xf numFmtId="0" fontId="20" fillId="0" borderId="1" xfId="38" applyFont="1" applyFill="1" applyBorder="1" applyAlignment="1">
      <alignment horizontal="center" vertical="center"/>
    </xf>
    <xf numFmtId="0" fontId="20" fillId="0" borderId="1" xfId="38" applyFont="1" applyBorder="1" applyAlignment="1">
      <alignment horizontal="center" vertical="center"/>
    </xf>
    <xf numFmtId="0" fontId="20" fillId="0" borderId="1" xfId="38" applyFont="1" applyFill="1" applyBorder="1" applyAlignment="1">
      <alignment horizontal="left" vertical="center"/>
    </xf>
    <xf numFmtId="0" fontId="22" fillId="0" borderId="1" xfId="38" applyFont="1" applyFill="1" applyBorder="1" applyAlignment="1">
      <alignment horizontal="right" vertical="center"/>
    </xf>
    <xf numFmtId="0" fontId="22" fillId="0" borderId="1" xfId="38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22" fillId="0" borderId="1" xfId="38" applyFont="1" applyFill="1" applyBorder="1" applyAlignment="1">
      <alignment horizontal="center" vertical="center"/>
    </xf>
    <xf numFmtId="0" fontId="20" fillId="0" borderId="2" xfId="38" applyFont="1" applyFill="1" applyBorder="1" applyAlignment="1">
      <alignment horizontal="left" vertical="center"/>
    </xf>
    <xf numFmtId="0" fontId="20" fillId="0" borderId="3" xfId="38" applyFont="1" applyFill="1" applyBorder="1" applyAlignment="1">
      <alignment horizontal="left" vertical="center"/>
    </xf>
    <xf numFmtId="0" fontId="20" fillId="0" borderId="4" xfId="38" applyFont="1" applyFill="1" applyBorder="1" applyAlignment="1">
      <alignment horizontal="left" vertical="center"/>
    </xf>
    <xf numFmtId="0" fontId="20" fillId="0" borderId="28" xfId="38" applyFont="1" applyBorder="1" applyAlignment="1">
      <alignment horizontal="left" vertical="center"/>
    </xf>
    <xf numFmtId="0" fontId="22" fillId="0" borderId="1" xfId="38" applyFont="1" applyFill="1" applyBorder="1" applyAlignment="1">
      <alignment horizontal="right" vertical="center" wrapText="1"/>
    </xf>
    <xf numFmtId="0" fontId="20" fillId="0" borderId="1" xfId="38" applyFont="1" applyBorder="1" applyAlignment="1">
      <alignment vertical="center"/>
    </xf>
    <xf numFmtId="0" fontId="20" fillId="0" borderId="29" xfId="38" applyFont="1" applyBorder="1" applyAlignment="1">
      <alignment horizontal="left" vertical="center"/>
    </xf>
    <xf numFmtId="0" fontId="20" fillId="0" borderId="30" xfId="38" applyFont="1" applyFill="1" applyBorder="1" applyAlignment="1">
      <alignment horizontal="right" vertical="center"/>
    </xf>
    <xf numFmtId="0" fontId="20" fillId="0" borderId="32" xfId="38" applyFont="1" applyFill="1" applyBorder="1" applyAlignment="1">
      <alignment horizontal="right" vertical="center"/>
    </xf>
    <xf numFmtId="0" fontId="20" fillId="0" borderId="2" xfId="38" applyFont="1" applyFill="1" applyBorder="1" applyAlignment="1">
      <alignment horizontal="right" vertical="center"/>
    </xf>
    <xf numFmtId="0" fontId="20" fillId="0" borderId="4" xfId="38" applyFont="1" applyFill="1" applyBorder="1" applyAlignment="1">
      <alignment horizontal="right" vertical="center"/>
    </xf>
    <xf numFmtId="0" fontId="20" fillId="0" borderId="29" xfId="38" applyFont="1" applyBorder="1" applyAlignment="1">
      <alignment horizontal="center" vertical="center"/>
    </xf>
    <xf numFmtId="0" fontId="20" fillId="0" borderId="0" xfId="38" applyFont="1" applyBorder="1" applyAlignment="1">
      <alignment horizontal="left" vertical="center"/>
    </xf>
    <xf numFmtId="0" fontId="20" fillId="0" borderId="0" xfId="38" applyFont="1" applyBorder="1" applyAlignment="1">
      <alignment horizontal="right" vertical="center"/>
    </xf>
    <xf numFmtId="0" fontId="20" fillId="0" borderId="0" xfId="38" applyFont="1" applyFill="1" applyBorder="1" applyAlignment="1">
      <alignment horizontal="right" vertical="center"/>
    </xf>
    <xf numFmtId="0" fontId="20" fillId="0" borderId="0" xfId="38" applyFont="1" applyFill="1" applyBorder="1" applyAlignment="1">
      <alignment horizontal="left" vertical="center"/>
    </xf>
    <xf numFmtId="0" fontId="20" fillId="0" borderId="0" xfId="38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20" fillId="6" borderId="1" xfId="38" applyFont="1" applyFill="1" applyBorder="1" applyAlignment="1">
      <alignment horizontal="left" vertical="center"/>
    </xf>
    <xf numFmtId="0" fontId="22" fillId="6" borderId="1" xfId="38" applyFont="1" applyFill="1" applyBorder="1" applyAlignment="1">
      <alignment horizontal="center" vertical="center"/>
    </xf>
    <xf numFmtId="0" fontId="22" fillId="6" borderId="1" xfId="38" applyFont="1" applyFill="1" applyBorder="1" applyAlignment="1">
      <alignment horizontal="right" vertical="center"/>
    </xf>
    <xf numFmtId="0" fontId="4" fillId="6" borderId="0" xfId="0" applyFont="1" applyFill="1" applyAlignment="1">
      <alignment horizontal="right" vertical="center"/>
    </xf>
    <xf numFmtId="0" fontId="4" fillId="6" borderId="0" xfId="0" applyFont="1" applyFill="1" applyAlignment="1">
      <alignment vertical="center"/>
    </xf>
    <xf numFmtId="0" fontId="19" fillId="2" borderId="14" xfId="38" applyFont="1" applyFill="1" applyBorder="1" applyAlignment="1">
      <alignment horizontal="left" vertical="center"/>
    </xf>
    <xf numFmtId="0" fontId="19" fillId="2" borderId="15" xfId="38" applyFont="1" applyFill="1" applyBorder="1" applyAlignment="1">
      <alignment horizontal="left" vertical="center"/>
    </xf>
    <xf numFmtId="0" fontId="19" fillId="2" borderId="18" xfId="38" applyFont="1" applyFill="1" applyBorder="1" applyAlignment="1">
      <alignment horizontal="left" vertical="center"/>
    </xf>
    <xf numFmtId="0" fontId="22" fillId="0" borderId="1" xfId="38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2" fontId="20" fillId="0" borderId="1" xfId="38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2" fontId="20" fillId="0" borderId="1" xfId="38" applyNumberFormat="1" applyFont="1" applyFill="1" applyBorder="1" applyAlignment="1">
      <alignment horizontal="center" vertical="center" wrapText="1"/>
    </xf>
    <xf numFmtId="0" fontId="20" fillId="0" borderId="2" xfId="38" applyFont="1" applyBorder="1" applyAlignment="1">
      <alignment vertical="center" wrapText="1"/>
    </xf>
    <xf numFmtId="0" fontId="14" fillId="0" borderId="3" xfId="0" applyFont="1" applyBorder="1" applyAlignment="1">
      <alignment vertical="center"/>
    </xf>
    <xf numFmtId="2" fontId="20" fillId="0" borderId="3" xfId="38" applyNumberFormat="1" applyFont="1" applyBorder="1" applyAlignment="1">
      <alignment horizontal="right" vertical="center" wrapText="1"/>
    </xf>
    <xf numFmtId="2" fontId="20" fillId="0" borderId="3" xfId="38" applyNumberFormat="1" applyFont="1" applyBorder="1" applyAlignment="1">
      <alignment vertical="center" wrapText="1"/>
    </xf>
    <xf numFmtId="2" fontId="20" fillId="0" borderId="3" xfId="38" applyNumberFormat="1" applyFont="1" applyFill="1" applyBorder="1" applyAlignment="1">
      <alignment vertical="center" wrapText="1"/>
    </xf>
    <xf numFmtId="0" fontId="20" fillId="0" borderId="1" xfId="38" applyFont="1" applyBorder="1" applyAlignment="1">
      <alignment vertical="center" wrapText="1"/>
    </xf>
    <xf numFmtId="0" fontId="19" fillId="2" borderId="3" xfId="38" applyFont="1" applyFill="1" applyBorder="1" applyAlignment="1">
      <alignment horizontal="center" vertical="center" wrapText="1"/>
    </xf>
    <xf numFmtId="0" fontId="22" fillId="2" borderId="1" xfId="38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/>
    </xf>
    <xf numFmtId="2" fontId="20" fillId="2" borderId="1" xfId="38" applyNumberFormat="1" applyFont="1" applyFill="1" applyBorder="1" applyAlignment="1">
      <alignment horizontal="right" vertical="center" wrapText="1"/>
    </xf>
    <xf numFmtId="0" fontId="19" fillId="2" borderId="1" xfId="38" applyFont="1" applyFill="1" applyBorder="1" applyAlignment="1">
      <alignment horizontal="right" vertical="center"/>
    </xf>
    <xf numFmtId="0" fontId="19" fillId="2" borderId="1" xfId="38" applyFont="1" applyFill="1" applyBorder="1" applyAlignment="1">
      <alignment horizontal="center" vertical="center"/>
    </xf>
    <xf numFmtId="2" fontId="19" fillId="2" borderId="1" xfId="38" applyNumberFormat="1" applyFont="1" applyFill="1" applyBorder="1" applyAlignment="1">
      <alignment horizontal="center" vertical="center"/>
    </xf>
    <xf numFmtId="0" fontId="22" fillId="2" borderId="2" xfId="38" applyFont="1" applyFill="1" applyBorder="1" applyAlignment="1">
      <alignment vertical="center" wrapText="1"/>
    </xf>
    <xf numFmtId="0" fontId="19" fillId="2" borderId="1" xfId="38" applyFont="1" applyFill="1" applyBorder="1" applyAlignment="1">
      <alignment horizontal="center" vertical="center" wrapText="1"/>
    </xf>
    <xf numFmtId="2" fontId="19" fillId="2" borderId="1" xfId="38" applyNumberFormat="1" applyFont="1" applyFill="1" applyBorder="1" applyAlignment="1">
      <alignment vertical="center" wrapText="1"/>
    </xf>
    <xf numFmtId="0" fontId="14" fillId="0" borderId="1" xfId="0" applyFont="1" applyBorder="1" applyAlignment="1">
      <alignment horizontal="right" vertical="center"/>
    </xf>
    <xf numFmtId="2" fontId="22" fillId="2" borderId="1" xfId="38" applyNumberFormat="1" applyFont="1" applyFill="1" applyBorder="1" applyAlignment="1">
      <alignment horizontal="right" vertical="center" wrapText="1"/>
    </xf>
    <xf numFmtId="0" fontId="20" fillId="0" borderId="28" xfId="38" applyFont="1" applyBorder="1" applyAlignment="1">
      <alignment vertical="center" wrapText="1"/>
    </xf>
    <xf numFmtId="2" fontId="20" fillId="0" borderId="28" xfId="38" applyNumberFormat="1" applyFont="1" applyBorder="1" applyAlignment="1">
      <alignment horizontal="right" vertical="center" wrapText="1"/>
    </xf>
    <xf numFmtId="0" fontId="20" fillId="0" borderId="1" xfId="38" applyFont="1" applyBorder="1" applyAlignment="1">
      <alignment horizontal="center" vertical="center" wrapText="1"/>
    </xf>
    <xf numFmtId="0" fontId="20" fillId="0" borderId="1" xfId="38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/>
    </xf>
    <xf numFmtId="0" fontId="19" fillId="2" borderId="3" xfId="38" applyFont="1" applyFill="1" applyBorder="1" applyAlignment="1">
      <alignment horizontal="right" vertical="center"/>
    </xf>
    <xf numFmtId="0" fontId="19" fillId="0" borderId="2" xfId="38" applyFont="1" applyFill="1" applyBorder="1" applyAlignment="1">
      <alignment horizontal="right" vertical="center"/>
    </xf>
    <xf numFmtId="0" fontId="19" fillId="0" borderId="4" xfId="38" applyFont="1" applyFill="1" applyBorder="1" applyAlignment="1">
      <alignment horizontal="right" vertical="center"/>
    </xf>
    <xf numFmtId="0" fontId="21" fillId="0" borderId="1" xfId="38" applyFont="1" applyFill="1" applyBorder="1" applyAlignment="1">
      <alignment vertical="center"/>
    </xf>
    <xf numFmtId="2" fontId="20" fillId="0" borderId="28" xfId="38" applyNumberFormat="1" applyFont="1" applyBorder="1" applyAlignment="1">
      <alignment vertical="center" wrapText="1"/>
    </xf>
    <xf numFmtId="2" fontId="20" fillId="0" borderId="28" xfId="38" applyNumberFormat="1" applyFont="1" applyFill="1" applyBorder="1" applyAlignment="1">
      <alignment horizontal="right" vertical="center" wrapText="1"/>
    </xf>
    <xf numFmtId="2" fontId="20" fillId="0" borderId="28" xfId="38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right" vertical="center"/>
    </xf>
    <xf numFmtId="2" fontId="14" fillId="0" borderId="1" xfId="0" applyNumberFormat="1" applyFont="1" applyFill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horizontal="right" vertical="center"/>
    </xf>
    <xf numFmtId="0" fontId="14" fillId="0" borderId="4" xfId="0" applyFont="1" applyBorder="1" applyAlignment="1">
      <alignment vertical="center"/>
    </xf>
    <xf numFmtId="2" fontId="20" fillId="0" borderId="4" xfId="38" applyNumberFormat="1" applyFont="1" applyBorder="1" applyAlignment="1">
      <alignment horizontal="right" vertical="center" wrapText="1"/>
    </xf>
    <xf numFmtId="2" fontId="20" fillId="0" borderId="2" xfId="38" applyNumberFormat="1" applyFont="1" applyBorder="1" applyAlignment="1">
      <alignment horizontal="right" vertical="center" wrapText="1"/>
    </xf>
    <xf numFmtId="0" fontId="19" fillId="2" borderId="1" xfId="38" applyFont="1" applyFill="1" applyBorder="1" applyAlignment="1">
      <alignment vertical="center"/>
    </xf>
    <xf numFmtId="0" fontId="21" fillId="0" borderId="28" xfId="38" applyFont="1" applyFill="1" applyBorder="1" applyAlignment="1">
      <alignment vertical="center"/>
    </xf>
    <xf numFmtId="0" fontId="19" fillId="0" borderId="28" xfId="38" applyFont="1" applyFill="1" applyBorder="1" applyAlignment="1">
      <alignment horizontal="center" vertical="center"/>
    </xf>
    <xf numFmtId="0" fontId="19" fillId="0" borderId="28" xfId="38" applyFont="1" applyFill="1" applyBorder="1" applyAlignment="1">
      <alignment horizontal="right" vertical="center"/>
    </xf>
    <xf numFmtId="0" fontId="21" fillId="0" borderId="1" xfId="38" applyFont="1" applyFill="1" applyBorder="1" applyAlignment="1">
      <alignment horizontal="center" vertical="center"/>
    </xf>
    <xf numFmtId="0" fontId="21" fillId="0" borderId="28" xfId="38" applyFont="1" applyFill="1" applyBorder="1" applyAlignment="1">
      <alignment horizontal="right" vertical="center"/>
    </xf>
    <xf numFmtId="0" fontId="21" fillId="0" borderId="28" xfId="38" applyFont="1" applyFill="1" applyBorder="1" applyAlignment="1">
      <alignment horizontal="center" vertical="center"/>
    </xf>
    <xf numFmtId="0" fontId="21" fillId="0" borderId="28" xfId="38" applyFont="1" applyFill="1" applyBorder="1" applyAlignment="1">
      <alignment horizontal="left" vertical="center"/>
    </xf>
    <xf numFmtId="0" fontId="21" fillId="0" borderId="14" xfId="38" applyFont="1" applyFill="1" applyBorder="1" applyAlignment="1">
      <alignment horizontal="left" vertical="center"/>
    </xf>
    <xf numFmtId="0" fontId="21" fillId="0" borderId="15" xfId="38" applyFont="1" applyFill="1" applyBorder="1" applyAlignment="1">
      <alignment horizontal="left" vertical="center"/>
    </xf>
    <xf numFmtId="0" fontId="21" fillId="0" borderId="15" xfId="38" applyFont="1" applyFill="1" applyBorder="1" applyAlignment="1">
      <alignment horizontal="right" vertical="center"/>
    </xf>
    <xf numFmtId="0" fontId="21" fillId="0" borderId="15" xfId="38" applyFont="1" applyFill="1" applyBorder="1" applyAlignment="1">
      <alignment horizontal="center" vertical="center"/>
    </xf>
    <xf numFmtId="0" fontId="21" fillId="0" borderId="1" xfId="38" applyFont="1" applyFill="1" applyBorder="1" applyAlignment="1">
      <alignment horizontal="left" vertical="center"/>
    </xf>
    <xf numFmtId="2" fontId="21" fillId="0" borderId="28" xfId="38" applyNumberFormat="1" applyFont="1" applyFill="1" applyBorder="1" applyAlignment="1">
      <alignment horizontal="right" vertical="center"/>
    </xf>
    <xf numFmtId="0" fontId="21" fillId="0" borderId="14" xfId="38" applyFont="1" applyBorder="1" applyAlignment="1">
      <alignment horizontal="left" vertical="center"/>
    </xf>
    <xf numFmtId="0" fontId="19" fillId="0" borderId="15" xfId="38" applyFont="1" applyBorder="1" applyAlignment="1">
      <alignment horizontal="center" vertical="center"/>
    </xf>
    <xf numFmtId="0" fontId="19" fillId="0" borderId="15" xfId="38" applyFont="1" applyBorder="1" applyAlignment="1">
      <alignment horizontal="right" vertical="center"/>
    </xf>
    <xf numFmtId="0" fontId="19" fillId="2" borderId="28" xfId="38" applyFont="1" applyFill="1" applyBorder="1" applyAlignment="1">
      <alignment horizontal="left" vertical="center" wrapText="1"/>
    </xf>
    <xf numFmtId="0" fontId="19" fillId="2" borderId="28" xfId="38" applyFont="1" applyFill="1" applyBorder="1" applyAlignment="1">
      <alignment horizontal="right" vertical="center" wrapText="1"/>
    </xf>
    <xf numFmtId="0" fontId="19" fillId="2" borderId="1" xfId="38" applyFont="1" applyFill="1" applyBorder="1" applyAlignment="1">
      <alignment horizontal="right" vertical="center" wrapText="1"/>
    </xf>
    <xf numFmtId="2" fontId="22" fillId="0" borderId="1" xfId="38" applyNumberFormat="1" applyFont="1" applyBorder="1" applyAlignment="1">
      <alignment horizontal="right" vertical="center" wrapText="1"/>
    </xf>
    <xf numFmtId="2" fontId="22" fillId="0" borderId="1" xfId="38" applyNumberFormat="1" applyFont="1" applyBorder="1" applyAlignment="1">
      <alignment horizontal="center" vertical="center" wrapText="1"/>
    </xf>
    <xf numFmtId="0" fontId="19" fillId="2" borderId="1" xfId="38" applyFont="1" applyFill="1" applyBorder="1" applyAlignment="1">
      <alignment horizontal="left" vertical="center" wrapText="1"/>
    </xf>
    <xf numFmtId="0" fontId="20" fillId="0" borderId="28" xfId="38" applyFont="1" applyFill="1" applyBorder="1" applyAlignment="1">
      <alignment vertical="center" wrapText="1"/>
    </xf>
    <xf numFmtId="0" fontId="21" fillId="0" borderId="1" xfId="38" applyFont="1" applyBorder="1" applyAlignment="1">
      <alignment horizontal="right" vertical="center"/>
    </xf>
    <xf numFmtId="0" fontId="19" fillId="0" borderId="1" xfId="38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20" fillId="0" borderId="1" xfId="38" applyFont="1" applyBorder="1" applyAlignment="1">
      <alignment horizontal="left" vertical="center" wrapText="1"/>
    </xf>
    <xf numFmtId="2" fontId="20" fillId="0" borderId="1" xfId="38" applyNumberFormat="1" applyFont="1" applyBorder="1" applyAlignment="1">
      <alignment horizontal="right" vertical="center"/>
    </xf>
    <xf numFmtId="2" fontId="22" fillId="0" borderId="1" xfId="38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2" fontId="21" fillId="0" borderId="1" xfId="0" applyNumberFormat="1" applyFont="1" applyFill="1" applyBorder="1" applyAlignment="1">
      <alignment horizontal="right" vertical="center" wrapText="1"/>
    </xf>
    <xf numFmtId="49" fontId="19" fillId="0" borderId="1" xfId="0" applyNumberFormat="1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 wrapText="1"/>
    </xf>
    <xf numFmtId="2" fontId="20" fillId="0" borderId="15" xfId="38" applyNumberFormat="1" applyFont="1" applyFill="1" applyBorder="1" applyAlignment="1">
      <alignment vertical="center" wrapText="1"/>
    </xf>
    <xf numFmtId="2" fontId="20" fillId="0" borderId="3" xfId="38" applyNumberFormat="1" applyFont="1" applyFill="1" applyBorder="1" applyAlignment="1">
      <alignment horizontal="right" vertical="center" wrapText="1"/>
    </xf>
    <xf numFmtId="2" fontId="22" fillId="0" borderId="17" xfId="38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4" fillId="0" borderId="0" xfId="0" applyFont="1" applyFill="1" applyAlignment="1">
      <alignment horizontal="right" vertical="center"/>
    </xf>
    <xf numFmtId="0" fontId="19" fillId="0" borderId="3" xfId="38" applyFont="1" applyFill="1" applyBorder="1" applyAlignment="1">
      <alignment vertical="center" wrapText="1"/>
    </xf>
    <xf numFmtId="0" fontId="19" fillId="0" borderId="3" xfId="38" applyFont="1" applyFill="1" applyBorder="1" applyAlignment="1">
      <alignment horizontal="center" vertical="center" wrapText="1"/>
    </xf>
    <xf numFmtId="2" fontId="22" fillId="0" borderId="30" xfId="38" applyNumberFormat="1" applyFont="1" applyFill="1" applyBorder="1" applyAlignment="1">
      <alignment horizontal="center" vertical="center" wrapText="1"/>
    </xf>
    <xf numFmtId="2" fontId="22" fillId="0" borderId="32" xfId="38" applyNumberFormat="1" applyFont="1" applyFill="1" applyBorder="1" applyAlignment="1">
      <alignment horizontal="center" vertical="center" wrapText="1"/>
    </xf>
    <xf numFmtId="2" fontId="22" fillId="0" borderId="17" xfId="38" applyNumberFormat="1" applyFont="1" applyFill="1" applyBorder="1" applyAlignment="1">
      <alignment horizontal="right" vertical="center" wrapText="1"/>
    </xf>
    <xf numFmtId="2" fontId="20" fillId="0" borderId="17" xfId="38" applyNumberFormat="1" applyFont="1" applyFill="1" applyBorder="1" applyAlignment="1">
      <alignment horizontal="right" vertical="center" wrapText="1"/>
    </xf>
    <xf numFmtId="2" fontId="22" fillId="0" borderId="15" xfId="38" applyNumberFormat="1" applyFont="1" applyFill="1" applyBorder="1" applyAlignment="1">
      <alignment horizontal="center" vertical="center" wrapText="1"/>
    </xf>
    <xf numFmtId="2" fontId="20" fillId="0" borderId="15" xfId="38" applyNumberFormat="1" applyFont="1" applyFill="1" applyBorder="1" applyAlignment="1">
      <alignment horizontal="center" vertical="center" wrapText="1"/>
    </xf>
    <xf numFmtId="2" fontId="20" fillId="0" borderId="32" xfId="38" applyNumberFormat="1" applyFont="1" applyFill="1" applyBorder="1" applyAlignment="1">
      <alignment horizontal="center" vertical="center" wrapText="1"/>
    </xf>
    <xf numFmtId="0" fontId="20" fillId="0" borderId="28" xfId="38" applyFont="1" applyFill="1" applyBorder="1" applyAlignment="1">
      <alignment horizontal="center" vertical="center" wrapText="1"/>
    </xf>
    <xf numFmtId="0" fontId="20" fillId="0" borderId="29" xfId="38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vertical="center"/>
    </xf>
    <xf numFmtId="0" fontId="20" fillId="0" borderId="3" xfId="38" applyFont="1" applyFill="1" applyBorder="1" applyAlignment="1">
      <alignment vertical="center" wrapText="1"/>
    </xf>
    <xf numFmtId="0" fontId="19" fillId="0" borderId="3" xfId="38" applyFont="1" applyFill="1" applyBorder="1" applyAlignment="1">
      <alignment horizontal="right" vertical="center" wrapText="1"/>
    </xf>
    <xf numFmtId="0" fontId="19" fillId="0" borderId="4" xfId="38" applyFont="1" applyBorder="1" applyAlignment="1">
      <alignment horizontal="center" vertical="center"/>
    </xf>
    <xf numFmtId="0" fontId="22" fillId="0" borderId="28" xfId="38" applyFont="1" applyBorder="1" applyAlignment="1">
      <alignment vertical="center" wrapText="1"/>
    </xf>
    <xf numFmtId="2" fontId="22" fillId="0" borderId="1" xfId="38" applyNumberFormat="1" applyFont="1" applyBorder="1" applyAlignment="1">
      <alignment vertical="center" wrapText="1"/>
    </xf>
    <xf numFmtId="2" fontId="22" fillId="0" borderId="17" xfId="38" applyNumberFormat="1" applyFont="1" applyBorder="1" applyAlignment="1">
      <alignment vertical="center" wrapText="1"/>
    </xf>
    <xf numFmtId="2" fontId="21" fillId="0" borderId="4" xfId="0" applyNumberFormat="1" applyFont="1" applyBorder="1" applyAlignment="1">
      <alignment horizontal="right" vertical="center" wrapText="1"/>
    </xf>
    <xf numFmtId="0" fontId="19" fillId="11" borderId="2" xfId="38" applyFont="1" applyFill="1" applyBorder="1" applyAlignment="1">
      <alignment horizontal="center" vertical="center" wrapText="1"/>
    </xf>
    <xf numFmtId="0" fontId="19" fillId="11" borderId="4" xfId="38" applyFont="1" applyFill="1" applyBorder="1" applyAlignment="1">
      <alignment horizontal="center" vertical="center" wrapText="1"/>
    </xf>
    <xf numFmtId="2" fontId="19" fillId="11" borderId="4" xfId="38" applyNumberFormat="1" applyFont="1" applyFill="1" applyBorder="1" applyAlignment="1">
      <alignment vertical="center" wrapText="1"/>
    </xf>
    <xf numFmtId="2" fontId="22" fillId="0" borderId="17" xfId="38" applyNumberFormat="1" applyFont="1" applyBorder="1" applyAlignment="1">
      <alignment horizontal="center" vertical="center" wrapText="1"/>
    </xf>
    <xf numFmtId="181" fontId="20" fillId="0" borderId="1" xfId="38" applyNumberFormat="1" applyFont="1" applyFill="1" applyBorder="1" applyAlignment="1">
      <alignment vertical="center" wrapText="1"/>
    </xf>
    <xf numFmtId="0" fontId="19" fillId="0" borderId="1" xfId="38" applyFont="1" applyFill="1" applyBorder="1" applyAlignment="1">
      <alignment horizontal="right" vertical="center" wrapText="1"/>
    </xf>
    <xf numFmtId="0" fontId="21" fillId="0" borderId="1" xfId="38" applyFont="1" applyFill="1" applyBorder="1" applyAlignment="1">
      <alignment horizontal="left" vertical="center" wrapText="1"/>
    </xf>
    <xf numFmtId="0" fontId="19" fillId="0" borderId="1" xfId="38" applyFont="1" applyFill="1" applyBorder="1" applyAlignment="1">
      <alignment horizontal="center" vertical="center" wrapText="1"/>
    </xf>
    <xf numFmtId="0" fontId="21" fillId="0" borderId="1" xfId="38" applyFont="1" applyFill="1" applyBorder="1" applyAlignment="1">
      <alignment horizontal="right" vertical="center" wrapText="1"/>
    </xf>
    <xf numFmtId="2" fontId="21" fillId="0" borderId="1" xfId="38" applyNumberFormat="1" applyFont="1" applyFill="1" applyBorder="1" applyAlignment="1">
      <alignment horizontal="right" vertical="center" wrapText="1"/>
    </xf>
    <xf numFmtId="0" fontId="19" fillId="9" borderId="2" xfId="38" applyFont="1" applyFill="1" applyBorder="1" applyAlignment="1">
      <alignment horizontal="left" vertical="center"/>
    </xf>
    <xf numFmtId="0" fontId="19" fillId="9" borderId="3" xfId="38" applyFont="1" applyFill="1" applyBorder="1" applyAlignment="1">
      <alignment horizontal="left" vertical="center"/>
    </xf>
    <xf numFmtId="0" fontId="19" fillId="9" borderId="4" xfId="38" applyFont="1" applyFill="1" applyBorder="1" applyAlignment="1">
      <alignment horizontal="left" vertical="center"/>
    </xf>
    <xf numFmtId="0" fontId="19" fillId="0" borderId="1" xfId="38" applyFont="1" applyBorder="1" applyAlignment="1">
      <alignment vertical="center" wrapText="1"/>
    </xf>
    <xf numFmtId="0" fontId="19" fillId="0" borderId="1" xfId="38" applyFont="1" applyBorder="1" applyAlignment="1">
      <alignment horizontal="center" vertical="center" wrapText="1"/>
    </xf>
    <xf numFmtId="0" fontId="19" fillId="0" borderId="1" xfId="38" applyFont="1" applyBorder="1" applyAlignment="1">
      <alignment horizontal="right" vertical="center" wrapText="1"/>
    </xf>
    <xf numFmtId="2" fontId="19" fillId="0" borderId="1" xfId="38" applyNumberFormat="1" applyFont="1" applyBorder="1" applyAlignment="1">
      <alignment horizontal="center" vertical="center" wrapText="1"/>
    </xf>
    <xf numFmtId="0" fontId="0" fillId="12" borderId="0" xfId="0" applyFont="1" applyFill="1" applyAlignment="1">
      <alignment vertical="center"/>
    </xf>
    <xf numFmtId="0" fontId="19" fillId="6" borderId="1" xfId="38" applyFont="1" applyFill="1" applyBorder="1" applyAlignment="1">
      <alignment vertical="center" wrapText="1"/>
    </xf>
    <xf numFmtId="0" fontId="19" fillId="6" borderId="28" xfId="38" applyFont="1" applyFill="1" applyBorder="1" applyAlignment="1">
      <alignment horizontal="center" vertical="center" wrapText="1"/>
    </xf>
    <xf numFmtId="0" fontId="21" fillId="6" borderId="1" xfId="38" applyFont="1" applyFill="1" applyBorder="1" applyAlignment="1">
      <alignment horizontal="right" vertical="center" wrapText="1"/>
    </xf>
    <xf numFmtId="0" fontId="21" fillId="6" borderId="1" xfId="38" applyFont="1" applyFill="1" applyBorder="1" applyAlignment="1">
      <alignment horizontal="center" vertical="center" wrapText="1"/>
    </xf>
    <xf numFmtId="2" fontId="21" fillId="6" borderId="1" xfId="38" applyNumberFormat="1" applyFont="1" applyFill="1" applyBorder="1" applyAlignment="1">
      <alignment horizontal="center" vertical="center" wrapText="1"/>
    </xf>
    <xf numFmtId="0" fontId="21" fillId="0" borderId="1" xfId="38" applyFont="1" applyBorder="1" applyAlignment="1">
      <alignment vertical="center" wrapText="1"/>
    </xf>
    <xf numFmtId="0" fontId="21" fillId="0" borderId="28" xfId="38" applyFont="1" applyBorder="1" applyAlignment="1">
      <alignment horizontal="center" vertical="center" wrapText="1"/>
    </xf>
    <xf numFmtId="0" fontId="21" fillId="0" borderId="1" xfId="38" applyFont="1" applyBorder="1" applyAlignment="1">
      <alignment horizontal="right" vertical="center" wrapText="1"/>
    </xf>
    <xf numFmtId="0" fontId="21" fillId="0" borderId="28" xfId="38" applyFont="1" applyBorder="1" applyAlignment="1">
      <alignment horizontal="right" vertical="center" wrapText="1"/>
    </xf>
    <xf numFmtId="0" fontId="21" fillId="0" borderId="1" xfId="38" applyFont="1" applyBorder="1" applyAlignment="1">
      <alignment horizontal="center" vertical="center" wrapText="1"/>
    </xf>
    <xf numFmtId="2" fontId="21" fillId="0" borderId="1" xfId="38" applyNumberFormat="1" applyFont="1" applyBorder="1" applyAlignment="1">
      <alignment horizontal="center" vertical="center" wrapText="1"/>
    </xf>
    <xf numFmtId="0" fontId="21" fillId="0" borderId="31" xfId="38" applyFont="1" applyBorder="1" applyAlignment="1">
      <alignment horizontal="right" vertical="center" wrapText="1"/>
    </xf>
    <xf numFmtId="0" fontId="21" fillId="0" borderId="29" xfId="38" applyFont="1" applyBorder="1" applyAlignment="1">
      <alignment horizontal="right" vertical="center" wrapText="1"/>
    </xf>
    <xf numFmtId="0" fontId="23" fillId="0" borderId="1" xfId="38" applyFont="1" applyBorder="1" applyAlignment="1">
      <alignment vertical="center" wrapText="1"/>
    </xf>
    <xf numFmtId="0" fontId="23" fillId="0" borderId="28" xfId="38" applyFont="1" applyBorder="1" applyAlignment="1">
      <alignment horizontal="center" vertical="center" wrapText="1"/>
    </xf>
    <xf numFmtId="0" fontId="23" fillId="0" borderId="1" xfId="38" applyFont="1" applyBorder="1" applyAlignment="1">
      <alignment horizontal="right" vertical="center" wrapText="1"/>
    </xf>
    <xf numFmtId="0" fontId="23" fillId="0" borderId="1" xfId="38" applyFont="1" applyBorder="1" applyAlignment="1">
      <alignment horizontal="center" vertical="center" wrapText="1"/>
    </xf>
    <xf numFmtId="2" fontId="23" fillId="0" borderId="1" xfId="38" applyNumberFormat="1" applyFont="1" applyBorder="1" applyAlignment="1">
      <alignment horizontal="center" vertical="center" wrapText="1"/>
    </xf>
    <xf numFmtId="0" fontId="19" fillId="6" borderId="1" xfId="38" applyFont="1" applyFill="1" applyBorder="1" applyAlignment="1">
      <alignment horizontal="right" vertical="center" wrapText="1"/>
    </xf>
    <xf numFmtId="0" fontId="19" fillId="6" borderId="1" xfId="38" applyFont="1" applyFill="1" applyBorder="1" applyAlignment="1">
      <alignment horizontal="center" vertical="center" wrapText="1"/>
    </xf>
    <xf numFmtId="2" fontId="19" fillId="6" borderId="1" xfId="38" applyNumberFormat="1" applyFont="1" applyFill="1" applyBorder="1" applyAlignment="1">
      <alignment horizontal="center" vertical="center" wrapText="1"/>
    </xf>
    <xf numFmtId="0" fontId="21" fillId="0" borderId="1" xfId="38" applyFont="1" applyFill="1" applyBorder="1" applyAlignment="1">
      <alignment vertical="center" wrapText="1"/>
    </xf>
    <xf numFmtId="0" fontId="21" fillId="0" borderId="28" xfId="38" applyFont="1" applyFill="1" applyBorder="1" applyAlignment="1">
      <alignment horizontal="center" vertical="center" wrapText="1"/>
    </xf>
    <xf numFmtId="0" fontId="21" fillId="0" borderId="1" xfId="38" applyFont="1" applyFill="1" applyBorder="1" applyAlignment="1">
      <alignment horizontal="center" vertical="center" wrapText="1"/>
    </xf>
    <xf numFmtId="2" fontId="21" fillId="0" borderId="1" xfId="38" applyNumberFormat="1" applyFont="1" applyFill="1" applyBorder="1" applyAlignment="1">
      <alignment horizontal="center" vertical="center" wrapText="1"/>
    </xf>
    <xf numFmtId="0" fontId="23" fillId="6" borderId="1" xfId="38" applyFont="1" applyFill="1" applyBorder="1" applyAlignment="1">
      <alignment horizontal="right" vertical="center" wrapText="1"/>
    </xf>
    <xf numFmtId="0" fontId="23" fillId="6" borderId="1" xfId="38" applyFont="1" applyFill="1" applyBorder="1" applyAlignment="1">
      <alignment horizontal="center" vertical="center" wrapText="1"/>
    </xf>
    <xf numFmtId="2" fontId="23" fillId="6" borderId="1" xfId="38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5" fillId="0" borderId="1" xfId="38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0" fontId="25" fillId="0" borderId="29" xfId="38" applyFont="1" applyBorder="1" applyAlignment="1">
      <alignment horizontal="center" vertical="center" wrapText="1"/>
    </xf>
    <xf numFmtId="2" fontId="25" fillId="0" borderId="1" xfId="38" applyNumberFormat="1" applyFont="1" applyBorder="1" applyAlignment="1">
      <alignment horizontal="center" vertical="center"/>
    </xf>
    <xf numFmtId="2" fontId="25" fillId="0" borderId="29" xfId="38" applyNumberFormat="1" applyFont="1" applyBorder="1" applyAlignment="1">
      <alignment horizontal="right" vertical="center" wrapText="1"/>
    </xf>
    <xf numFmtId="2" fontId="25" fillId="0" borderId="29" xfId="38" applyNumberFormat="1" applyFont="1" applyBorder="1" applyAlignment="1">
      <alignment horizontal="right" vertical="center"/>
    </xf>
    <xf numFmtId="0" fontId="19" fillId="9" borderId="2" xfId="38" applyFont="1" applyFill="1" applyBorder="1" applyAlignment="1">
      <alignment horizontal="center" vertical="center" wrapText="1"/>
    </xf>
    <xf numFmtId="0" fontId="19" fillId="9" borderId="4" xfId="38" applyFont="1" applyFill="1" applyBorder="1" applyAlignment="1">
      <alignment horizontal="center" vertical="center" wrapText="1"/>
    </xf>
    <xf numFmtId="2" fontId="19" fillId="9" borderId="4" xfId="38" applyNumberFormat="1" applyFont="1" applyFill="1" applyBorder="1" applyAlignment="1">
      <alignment vertical="center" wrapText="1"/>
    </xf>
    <xf numFmtId="0" fontId="21" fillId="0" borderId="29" xfId="38" applyFont="1" applyBorder="1" applyAlignment="1">
      <alignment horizontal="center" vertical="center" wrapText="1"/>
    </xf>
    <xf numFmtId="2" fontId="21" fillId="0" borderId="29" xfId="38" applyNumberFormat="1" applyFont="1" applyBorder="1" applyAlignment="1">
      <alignment horizontal="center" vertical="center"/>
    </xf>
    <xf numFmtId="2" fontId="21" fillId="0" borderId="29" xfId="38" applyNumberFormat="1" applyFont="1" applyBorder="1" applyAlignment="1">
      <alignment horizontal="right" vertical="center" wrapText="1"/>
    </xf>
    <xf numFmtId="2" fontId="21" fillId="0" borderId="29" xfId="38" applyNumberFormat="1" applyFont="1" applyBorder="1" applyAlignment="1">
      <alignment horizontal="right" vertical="center"/>
    </xf>
    <xf numFmtId="2" fontId="21" fillId="0" borderId="29" xfId="38" applyNumberFormat="1" applyFont="1" applyBorder="1" applyAlignment="1">
      <alignment horizontal="center" vertical="center" wrapText="1"/>
    </xf>
    <xf numFmtId="1" fontId="21" fillId="0" borderId="29" xfId="38" applyNumberFormat="1" applyFont="1" applyBorder="1" applyAlignment="1">
      <alignment horizontal="center" vertical="center"/>
    </xf>
    <xf numFmtId="2" fontId="25" fillId="0" borderId="29" xfId="38" applyNumberFormat="1" applyFont="1" applyBorder="1" applyAlignment="1">
      <alignment horizontal="center" vertical="center"/>
    </xf>
    <xf numFmtId="2" fontId="25" fillId="0" borderId="29" xfId="38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4" fillId="0" borderId="0" xfId="0" applyNumberFormat="1" applyFont="1"/>
    <xf numFmtId="0" fontId="14" fillId="0" borderId="0" xfId="0" applyFont="1"/>
    <xf numFmtId="0" fontId="26" fillId="2" borderId="1" xfId="0" applyNumberFormat="1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6" fillId="0" borderId="2" xfId="0" applyNumberFormat="1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2" xfId="0" applyNumberFormat="1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28" fillId="0" borderId="0" xfId="0" applyFont="1" applyAlignment="1">
      <alignment vertical="center"/>
    </xf>
    <xf numFmtId="0" fontId="26" fillId="0" borderId="2" xfId="0" applyNumberFormat="1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14" fillId="2" borderId="1" xfId="0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14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26" fillId="2" borderId="10" xfId="0" applyNumberFormat="1" applyFont="1" applyFill="1" applyBorder="1" applyAlignment="1">
      <alignment horizontal="center" vertical="center" wrapText="1"/>
    </xf>
    <xf numFmtId="0" fontId="26" fillId="2" borderId="33" xfId="0" applyFont="1" applyFill="1" applyBorder="1" applyAlignment="1">
      <alignment horizontal="left" vertical="center" wrapText="1"/>
    </xf>
    <xf numFmtId="0" fontId="26" fillId="2" borderId="34" xfId="0" applyFont="1" applyFill="1" applyBorder="1" applyAlignment="1">
      <alignment horizontal="left" vertical="center" wrapText="1"/>
    </xf>
    <xf numFmtId="0" fontId="26" fillId="2" borderId="35" xfId="0" applyFont="1" applyFill="1" applyBorder="1" applyAlignment="1">
      <alignment horizontal="left" vertical="center" wrapText="1"/>
    </xf>
    <xf numFmtId="0" fontId="26" fillId="2" borderId="36" xfId="0" applyFont="1" applyFill="1" applyBorder="1" applyAlignment="1">
      <alignment horizontal="center" vertical="center" wrapText="1"/>
    </xf>
    <xf numFmtId="0" fontId="26" fillId="2" borderId="1" xfId="0" applyNumberFormat="1" applyFont="1" applyFill="1" applyBorder="1" applyAlignment="1">
      <alignment horizontal="center" vertical="center" wrapText="1"/>
    </xf>
    <xf numFmtId="4" fontId="26" fillId="2" borderId="1" xfId="0" applyNumberFormat="1" applyFont="1" applyFill="1" applyBorder="1" applyAlignment="1">
      <alignment horizontal="center" vertical="center" wrapText="1"/>
    </xf>
    <xf numFmtId="0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180" fontId="26" fillId="0" borderId="1" xfId="0" applyNumberFormat="1" applyFont="1" applyBorder="1" applyAlignment="1">
      <alignment horizontal="center" vertical="center" wrapText="1"/>
    </xf>
    <xf numFmtId="2" fontId="26" fillId="0" borderId="1" xfId="0" applyNumberFormat="1" applyFont="1" applyBorder="1" applyAlignment="1">
      <alignment horizontal="right" vertical="center" wrapText="1"/>
    </xf>
    <xf numFmtId="4" fontId="26" fillId="0" borderId="1" xfId="0" applyNumberFormat="1" applyFont="1" applyFill="1" applyBorder="1" applyAlignment="1">
      <alignment horizontal="right" vertical="center" wrapText="1"/>
    </xf>
    <xf numFmtId="0" fontId="26" fillId="0" borderId="0" xfId="0" applyNumberFormat="1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center" vertical="center" wrapText="1"/>
    </xf>
    <xf numFmtId="4" fontId="29" fillId="2" borderId="7" xfId="0" applyNumberFormat="1" applyFont="1" applyFill="1" applyBorder="1" applyAlignment="1">
      <alignment horizontal="center" vertical="center" wrapText="1"/>
    </xf>
    <xf numFmtId="4" fontId="29" fillId="2" borderId="7" xfId="0" applyNumberFormat="1" applyFont="1" applyFill="1" applyBorder="1" applyAlignment="1">
      <alignment horizontal="right" vertical="center" wrapText="1"/>
    </xf>
    <xf numFmtId="0" fontId="30" fillId="0" borderId="9" xfId="0" applyNumberFormat="1" applyFont="1" applyBorder="1" applyAlignment="1">
      <alignment horizontal="center" vertical="center" wrapText="1"/>
    </xf>
    <xf numFmtId="4" fontId="30" fillId="13" borderId="9" xfId="0" applyNumberFormat="1" applyFont="1" applyFill="1" applyBorder="1" applyAlignment="1">
      <alignment horizontal="left" vertical="top" wrapText="1"/>
    </xf>
    <xf numFmtId="49" fontId="30" fillId="0" borderId="9" xfId="0" applyNumberFormat="1" applyFont="1" applyBorder="1" applyAlignment="1">
      <alignment horizontal="center" vertical="center" wrapText="1"/>
    </xf>
    <xf numFmtId="2" fontId="30" fillId="0" borderId="7" xfId="0" applyNumberFormat="1" applyFont="1" applyBorder="1" applyAlignment="1">
      <alignment horizontal="right" vertical="center" wrapText="1"/>
    </xf>
    <xf numFmtId="0" fontId="30" fillId="0" borderId="9" xfId="0" applyFont="1" applyBorder="1" applyAlignment="1">
      <alignment horizontal="right"/>
    </xf>
    <xf numFmtId="2" fontId="30" fillId="0" borderId="0" xfId="0" applyNumberFormat="1" applyFont="1" applyBorder="1" applyAlignment="1">
      <alignment horizontal="right" vertical="center" wrapText="1"/>
    </xf>
    <xf numFmtId="0" fontId="30" fillId="0" borderId="0" xfId="0" applyFont="1" applyBorder="1" applyAlignment="1">
      <alignment horizontal="right"/>
    </xf>
    <xf numFmtId="0" fontId="26" fillId="0" borderId="0" xfId="0" applyNumberFormat="1" applyFont="1" applyFill="1" applyAlignment="1">
      <alignment horizontal="center" vertical="center" wrapText="1"/>
    </xf>
    <xf numFmtId="0" fontId="26" fillId="0" borderId="0" xfId="0" applyFont="1" applyFill="1" applyAlignment="1">
      <alignment vertical="center" wrapText="1"/>
    </xf>
    <xf numFmtId="0" fontId="26" fillId="0" borderId="0" xfId="0" applyFont="1" applyFill="1" applyAlignment="1">
      <alignment horizontal="center" vertical="center" wrapText="1"/>
    </xf>
    <xf numFmtId="0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4" fontId="26" fillId="0" borderId="1" xfId="0" applyNumberFormat="1" applyFont="1" applyBorder="1" applyAlignment="1">
      <alignment horizontal="center" vertical="center" wrapText="1"/>
    </xf>
    <xf numFmtId="0" fontId="30" fillId="0" borderId="9" xfId="0" applyNumberFormat="1" applyFont="1" applyFill="1" applyBorder="1" applyAlignment="1">
      <alignment horizontal="center" vertical="center" wrapText="1"/>
    </xf>
    <xf numFmtId="49" fontId="30" fillId="0" borderId="9" xfId="0" applyNumberFormat="1" applyFont="1" applyFill="1" applyBorder="1" applyAlignment="1">
      <alignment horizontal="center" vertical="center" wrapText="1"/>
    </xf>
    <xf numFmtId="2" fontId="30" fillId="0" borderId="9" xfId="0" applyNumberFormat="1" applyFont="1" applyFill="1" applyBorder="1" applyAlignment="1">
      <alignment horizontal="center" vertical="center" wrapText="1"/>
    </xf>
    <xf numFmtId="4" fontId="30" fillId="0" borderId="9" xfId="0" applyNumberFormat="1" applyFont="1" applyFill="1" applyBorder="1" applyAlignment="1">
      <alignment horizontal="center" vertical="center" wrapText="1"/>
    </xf>
    <xf numFmtId="4" fontId="30" fillId="0" borderId="9" xfId="0" applyNumberFormat="1" applyFont="1" applyFill="1" applyBorder="1" applyAlignment="1">
      <alignment horizontal="right" vertical="center"/>
    </xf>
    <xf numFmtId="2" fontId="30" fillId="0" borderId="9" xfId="0" applyNumberFormat="1" applyFont="1" applyFill="1" applyBorder="1" applyAlignment="1">
      <alignment horizontal="center" vertical="center"/>
    </xf>
    <xf numFmtId="0" fontId="30" fillId="0" borderId="0" xfId="0" applyNumberFormat="1" applyFont="1" applyAlignment="1">
      <alignment horizontal="center" vertical="center" wrapText="1"/>
    </xf>
    <xf numFmtId="0" fontId="30" fillId="0" borderId="0" xfId="0" applyFont="1"/>
    <xf numFmtId="0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vertical="center" wrapText="1"/>
    </xf>
    <xf numFmtId="180" fontId="26" fillId="0" borderId="1" xfId="0" applyNumberFormat="1" applyFont="1" applyFill="1" applyBorder="1" applyAlignment="1">
      <alignment horizontal="center" vertical="center" wrapText="1"/>
    </xf>
    <xf numFmtId="2" fontId="26" fillId="0" borderId="1" xfId="0" applyNumberFormat="1" applyFont="1" applyFill="1" applyBorder="1" applyAlignment="1">
      <alignment horizontal="right" vertical="center" wrapText="1"/>
    </xf>
    <xf numFmtId="0" fontId="31" fillId="0" borderId="0" xfId="0" applyFont="1"/>
    <xf numFmtId="0" fontId="26" fillId="0" borderId="1" xfId="0" applyNumberFormat="1" applyFont="1" applyBorder="1" applyAlignment="1">
      <alignment horizontal="left" vertical="center" wrapText="1"/>
    </xf>
    <xf numFmtId="0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Fill="1" applyBorder="1" applyAlignment="1">
      <alignment vertical="center" wrapText="1"/>
    </xf>
    <xf numFmtId="0" fontId="26" fillId="11" borderId="10" xfId="0" applyNumberFormat="1" applyFont="1" applyFill="1" applyBorder="1" applyAlignment="1">
      <alignment horizontal="center" vertical="center" wrapText="1"/>
    </xf>
    <xf numFmtId="0" fontId="26" fillId="11" borderId="33" xfId="0" applyFont="1" applyFill="1" applyBorder="1" applyAlignment="1">
      <alignment horizontal="left" vertical="center" wrapText="1"/>
    </xf>
    <xf numFmtId="0" fontId="26" fillId="11" borderId="34" xfId="0" applyFont="1" applyFill="1" applyBorder="1" applyAlignment="1">
      <alignment horizontal="left" vertical="center" wrapText="1"/>
    </xf>
    <xf numFmtId="0" fontId="26" fillId="11" borderId="35" xfId="0" applyFont="1" applyFill="1" applyBorder="1" applyAlignment="1">
      <alignment horizontal="left" vertical="center" wrapText="1"/>
    </xf>
    <xf numFmtId="0" fontId="26" fillId="11" borderId="36" xfId="0" applyFont="1" applyFill="1" applyBorder="1" applyAlignment="1">
      <alignment horizontal="center" vertical="center" wrapText="1"/>
    </xf>
    <xf numFmtId="0" fontId="26" fillId="11" borderId="1" xfId="0" applyNumberFormat="1" applyFont="1" applyFill="1" applyBorder="1" applyAlignment="1">
      <alignment horizontal="center" vertical="center" wrapText="1"/>
    </xf>
    <xf numFmtId="4" fontId="26" fillId="11" borderId="1" xfId="0" applyNumberFormat="1" applyFont="1" applyFill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left" vertical="center" wrapText="1"/>
    </xf>
    <xf numFmtId="184" fontId="26" fillId="0" borderId="1" xfId="0" applyNumberFormat="1" applyFont="1" applyFill="1" applyBorder="1" applyAlignment="1">
      <alignment horizontal="center" vertical="center" wrapText="1"/>
    </xf>
    <xf numFmtId="4" fontId="29" fillId="11" borderId="7" xfId="0" applyNumberFormat="1" applyFont="1" applyFill="1" applyBorder="1" applyAlignment="1">
      <alignment horizontal="center" vertical="center" wrapText="1"/>
    </xf>
    <xf numFmtId="4" fontId="29" fillId="11" borderId="7" xfId="0" applyNumberFormat="1" applyFont="1" applyFill="1" applyBorder="1" applyAlignment="1">
      <alignment horizontal="right" vertical="center" wrapText="1"/>
    </xf>
    <xf numFmtId="2" fontId="26" fillId="0" borderId="1" xfId="0" applyNumberFormat="1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center" vertical="center" wrapText="1"/>
    </xf>
    <xf numFmtId="4" fontId="29" fillId="11" borderId="1" xfId="0" applyNumberFormat="1" applyFont="1" applyFill="1" applyBorder="1" applyAlignment="1">
      <alignment horizontal="center" vertical="center" wrapText="1"/>
    </xf>
    <xf numFmtId="4" fontId="29" fillId="11" borderId="37" xfId="0" applyNumberFormat="1" applyFont="1" applyFill="1" applyBorder="1" applyAlignment="1">
      <alignment horizontal="right" vertical="center" wrapText="1"/>
    </xf>
    <xf numFmtId="0" fontId="26" fillId="14" borderId="10" xfId="0" applyNumberFormat="1" applyFont="1" applyFill="1" applyBorder="1" applyAlignment="1">
      <alignment horizontal="center" vertical="center" wrapText="1"/>
    </xf>
    <xf numFmtId="0" fontId="26" fillId="14" borderId="33" xfId="0" applyFont="1" applyFill="1" applyBorder="1" applyAlignment="1">
      <alignment horizontal="left" vertical="center" wrapText="1"/>
    </xf>
    <xf numFmtId="0" fontId="26" fillId="14" borderId="34" xfId="0" applyFont="1" applyFill="1" applyBorder="1" applyAlignment="1">
      <alignment horizontal="left" vertical="center" wrapText="1"/>
    </xf>
    <xf numFmtId="0" fontId="26" fillId="14" borderId="35" xfId="0" applyFont="1" applyFill="1" applyBorder="1" applyAlignment="1">
      <alignment horizontal="left" vertical="center" wrapText="1"/>
    </xf>
    <xf numFmtId="0" fontId="26" fillId="14" borderId="36" xfId="0" applyFont="1" applyFill="1" applyBorder="1" applyAlignment="1">
      <alignment horizontal="center" vertical="center" wrapText="1"/>
    </xf>
    <xf numFmtId="0" fontId="26" fillId="14" borderId="1" xfId="0" applyNumberFormat="1" applyFont="1" applyFill="1" applyBorder="1" applyAlignment="1">
      <alignment horizontal="center" vertical="center" wrapText="1"/>
    </xf>
    <xf numFmtId="4" fontId="26" fillId="14" borderId="28" xfId="0" applyNumberFormat="1" applyFont="1" applyFill="1" applyBorder="1" applyAlignment="1">
      <alignment horizontal="center" vertical="center" wrapText="1"/>
    </xf>
    <xf numFmtId="4" fontId="26" fillId="14" borderId="1" xfId="0" applyNumberFormat="1" applyFont="1" applyFill="1" applyBorder="1" applyAlignment="1">
      <alignment horizontal="center" vertical="center" wrapText="1"/>
    </xf>
    <xf numFmtId="0" fontId="32" fillId="0" borderId="2" xfId="59" applyNumberFormat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/>
    </xf>
    <xf numFmtId="186" fontId="14" fillId="0" borderId="1" xfId="0" applyNumberFormat="1" applyFont="1" applyFill="1" applyBorder="1" applyAlignment="1">
      <alignment vertical="center"/>
    </xf>
    <xf numFmtId="2" fontId="14" fillId="0" borderId="1" xfId="0" applyNumberFormat="1" applyFont="1" applyBorder="1" applyAlignment="1">
      <alignment vertical="center" wrapText="1"/>
    </xf>
    <xf numFmtId="0" fontId="32" fillId="15" borderId="2" xfId="59" applyNumberFormat="1" applyFont="1" applyFill="1" applyBorder="1" applyAlignment="1">
      <alignment horizontal="center" vertical="center" wrapText="1"/>
    </xf>
    <xf numFmtId="4" fontId="29" fillId="14" borderId="1" xfId="0" applyNumberFormat="1" applyFont="1" applyFill="1" applyBorder="1" applyAlignment="1">
      <alignment horizontal="center" vertical="center" wrapText="1"/>
    </xf>
    <xf numFmtId="4" fontId="29" fillId="14" borderId="37" xfId="0" applyNumberFormat="1" applyFont="1" applyFill="1" applyBorder="1" applyAlignment="1">
      <alignment horizontal="right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186" fontId="14" fillId="0" borderId="1" xfId="0" applyNumberFormat="1" applyFont="1" applyFill="1" applyBorder="1" applyAlignment="1">
      <alignment horizontal="right" vertical="center"/>
    </xf>
    <xf numFmtId="2" fontId="14" fillId="0" borderId="1" xfId="0" applyNumberFormat="1" applyFont="1" applyFill="1" applyBorder="1" applyAlignment="1">
      <alignment horizontal="right" vertical="center"/>
    </xf>
    <xf numFmtId="2" fontId="14" fillId="0" borderId="1" xfId="0" applyNumberFormat="1" applyFont="1" applyFill="1" applyBorder="1" applyAlignment="1">
      <alignment horizontal="right" vertical="center" wrapText="1"/>
    </xf>
    <xf numFmtId="186" fontId="26" fillId="0" borderId="1" xfId="0" applyNumberFormat="1" applyFont="1" applyFill="1" applyBorder="1" applyAlignment="1">
      <alignment horizontal="right" vertical="center" wrapText="1"/>
    </xf>
    <xf numFmtId="2" fontId="14" fillId="0" borderId="1" xfId="0" applyNumberFormat="1" applyFont="1" applyBorder="1" applyAlignment="1">
      <alignment horizontal="right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186" fontId="14" fillId="0" borderId="1" xfId="0" applyNumberFormat="1" applyFont="1" applyBorder="1" applyAlignment="1">
      <alignment horizontal="right" vertical="center"/>
    </xf>
    <xf numFmtId="2" fontId="14" fillId="0" borderId="1" xfId="0" applyNumberFormat="1" applyFont="1" applyBorder="1" applyAlignment="1">
      <alignment horizontal="right" vertical="center"/>
    </xf>
    <xf numFmtId="2" fontId="14" fillId="0" borderId="28" xfId="0" applyNumberFormat="1" applyFont="1" applyBorder="1" applyAlignment="1">
      <alignment horizontal="right" vertical="center"/>
    </xf>
    <xf numFmtId="2" fontId="14" fillId="0" borderId="29" xfId="0" applyNumberFormat="1" applyFont="1" applyBorder="1" applyAlignment="1">
      <alignment horizontal="right" vertical="center"/>
    </xf>
    <xf numFmtId="0" fontId="26" fillId="0" borderId="28" xfId="0" applyNumberFormat="1" applyFont="1" applyFill="1" applyBorder="1" applyAlignment="1">
      <alignment horizontal="center" vertical="center" wrapText="1"/>
    </xf>
    <xf numFmtId="0" fontId="26" fillId="0" borderId="28" xfId="0" applyFont="1" applyFill="1" applyBorder="1" applyAlignment="1">
      <alignment vertical="center" wrapText="1"/>
    </xf>
    <xf numFmtId="0" fontId="26" fillId="0" borderId="28" xfId="0" applyFont="1" applyFill="1" applyBorder="1" applyAlignment="1">
      <alignment horizontal="center" vertical="center" wrapText="1"/>
    </xf>
    <xf numFmtId="186" fontId="26" fillId="0" borderId="28" xfId="0" applyNumberFormat="1" applyFont="1" applyFill="1" applyBorder="1" applyAlignment="1">
      <alignment horizontal="right" vertical="center" wrapText="1"/>
    </xf>
    <xf numFmtId="2" fontId="26" fillId="0" borderId="28" xfId="0" applyNumberFormat="1" applyFont="1" applyFill="1" applyBorder="1" applyAlignment="1">
      <alignment horizontal="right" vertical="center" wrapText="1"/>
    </xf>
    <xf numFmtId="4" fontId="26" fillId="0" borderId="28" xfId="0" applyNumberFormat="1" applyFont="1" applyFill="1" applyBorder="1" applyAlignment="1">
      <alignment horizontal="right" vertical="center" wrapText="1"/>
    </xf>
    <xf numFmtId="186" fontId="14" fillId="0" borderId="28" xfId="0" applyNumberFormat="1" applyFont="1" applyBorder="1" applyAlignment="1">
      <alignment horizontal="right" vertical="center"/>
    </xf>
    <xf numFmtId="186" fontId="14" fillId="0" borderId="29" xfId="0" applyNumberFormat="1" applyFont="1" applyBorder="1" applyAlignment="1">
      <alignment horizontal="right" vertical="center"/>
    </xf>
    <xf numFmtId="186" fontId="14" fillId="0" borderId="1" xfId="0" applyNumberFormat="1" applyFont="1" applyBorder="1" applyAlignment="1">
      <alignment vertical="center"/>
    </xf>
    <xf numFmtId="4" fontId="29" fillId="14" borderId="29" xfId="0" applyNumberFormat="1" applyFont="1" applyFill="1" applyBorder="1" applyAlignment="1">
      <alignment horizontal="center" vertical="center" wrapText="1"/>
    </xf>
    <xf numFmtId="186" fontId="14" fillId="0" borderId="1" xfId="0" applyNumberFormat="1" applyFont="1" applyFill="1" applyBorder="1"/>
    <xf numFmtId="0" fontId="14" fillId="0" borderId="4" xfId="0" applyFont="1" applyBorder="1" applyAlignment="1">
      <alignment horizontal="center" vertical="center" wrapText="1"/>
    </xf>
    <xf numFmtId="186" fontId="14" fillId="0" borderId="1" xfId="0" applyNumberFormat="1" applyFont="1" applyFill="1" applyBorder="1" applyAlignment="1">
      <alignment horizontal="right" vertical="center" wrapText="1"/>
    </xf>
    <xf numFmtId="0" fontId="14" fillId="0" borderId="1" xfId="0" applyFont="1" applyBorder="1" applyAlignment="1">
      <alignment vertical="center" wrapText="1"/>
    </xf>
    <xf numFmtId="186" fontId="14" fillId="0" borderId="1" xfId="0" applyNumberFormat="1" applyFont="1" applyBorder="1" applyAlignment="1">
      <alignment horizontal="right" vertical="center" wrapText="1"/>
    </xf>
    <xf numFmtId="0" fontId="30" fillId="0" borderId="0" xfId="0" applyNumberFormat="1" applyFont="1" applyBorder="1" applyAlignment="1">
      <alignment horizontal="center" vertical="top"/>
    </xf>
    <xf numFmtId="49" fontId="30" fillId="0" borderId="0" xfId="0" applyNumberFormat="1" applyFont="1" applyBorder="1" applyAlignment="1">
      <alignment wrapText="1"/>
    </xf>
    <xf numFmtId="2" fontId="30" fillId="0" borderId="0" xfId="0" applyNumberFormat="1" applyFont="1" applyBorder="1" applyAlignment="1">
      <alignment horizontal="center" vertical="top"/>
    </xf>
    <xf numFmtId="4" fontId="33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4" fontId="26" fillId="0" borderId="1" xfId="0" applyNumberFormat="1" applyFont="1" applyFill="1" applyBorder="1" applyAlignment="1">
      <alignment horizontal="center" vertical="center" wrapText="1"/>
    </xf>
    <xf numFmtId="4" fontId="29" fillId="2" borderId="11" xfId="0" applyNumberFormat="1" applyFont="1" applyFill="1" applyBorder="1" applyAlignment="1">
      <alignment horizontal="center" vertical="center" wrapText="1"/>
    </xf>
    <xf numFmtId="4" fontId="29" fillId="2" borderId="11" xfId="0" applyNumberFormat="1" applyFont="1" applyFill="1" applyBorder="1" applyAlignment="1">
      <alignment horizontal="right" vertical="center" wrapText="1"/>
    </xf>
    <xf numFmtId="0" fontId="26" fillId="0" borderId="1" xfId="0" applyNumberFormat="1" applyFont="1" applyBorder="1" applyAlignment="1">
      <alignment horizontal="left"/>
    </xf>
    <xf numFmtId="0" fontId="26" fillId="0" borderId="1" xfId="0" applyFont="1" applyBorder="1" applyAlignment="1">
      <alignment horizontal="left"/>
    </xf>
    <xf numFmtId="0" fontId="26" fillId="0" borderId="15" xfId="0" applyNumberFormat="1" applyFont="1" applyBorder="1" applyAlignment="1">
      <alignment horizontal="left" vertical="center"/>
    </xf>
    <xf numFmtId="0" fontId="26" fillId="0" borderId="15" xfId="0" applyFont="1" applyBorder="1" applyAlignment="1">
      <alignment horizontal="left" vertical="center"/>
    </xf>
    <xf numFmtId="0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horizontal="center" vertical="center"/>
    </xf>
    <xf numFmtId="0" fontId="18" fillId="0" borderId="0" xfId="0" applyFont="1" applyAlignment="1">
      <alignment horizontal="left"/>
    </xf>
    <xf numFmtId="0" fontId="16" fillId="9" borderId="16" xfId="0" applyFont="1" applyFill="1" applyBorder="1" applyAlignment="1">
      <alignment horizontal="center" vertical="center"/>
    </xf>
    <xf numFmtId="0" fontId="16" fillId="9" borderId="0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16" fillId="9" borderId="2" xfId="0" applyFont="1" applyFill="1" applyBorder="1" applyAlignment="1">
      <alignment horizontal="left" vertical="center" wrapText="1"/>
    </xf>
    <xf numFmtId="0" fontId="16" fillId="9" borderId="3" xfId="0" applyFont="1" applyFill="1" applyBorder="1" applyAlignment="1">
      <alignment horizontal="left" vertical="center" wrapText="1"/>
    </xf>
    <xf numFmtId="0" fontId="34" fillId="9" borderId="1" xfId="0" applyFont="1" applyFill="1" applyBorder="1" applyAlignment="1">
      <alignment horizontal="center" vertical="center"/>
    </xf>
    <xf numFmtId="0" fontId="34" fillId="9" borderId="1" xfId="0" applyFont="1" applyFill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10" fontId="18" fillId="0" borderId="1" xfId="7" applyNumberFormat="1" applyFont="1" applyBorder="1" applyAlignment="1">
      <alignment horizontal="right" vertical="center"/>
    </xf>
    <xf numFmtId="10" fontId="18" fillId="0" borderId="1" xfId="0" applyNumberFormat="1" applyFont="1" applyBorder="1" applyAlignment="1">
      <alignment horizontal="right"/>
    </xf>
    <xf numFmtId="4" fontId="18" fillId="0" borderId="1" xfId="0" applyNumberFormat="1" applyFont="1" applyBorder="1" applyAlignment="1">
      <alignment horizontal="right"/>
    </xf>
    <xf numFmtId="0" fontId="18" fillId="16" borderId="1" xfId="0" applyFont="1" applyFill="1" applyBorder="1" applyAlignment="1">
      <alignment horizontal="right"/>
    </xf>
    <xf numFmtId="0" fontId="18" fillId="0" borderId="1" xfId="0" applyFont="1" applyBorder="1" applyAlignment="1">
      <alignment horizontal="right"/>
    </xf>
    <xf numFmtId="0" fontId="18" fillId="0" borderId="1" xfId="0" applyFont="1" applyFill="1" applyBorder="1" applyAlignment="1">
      <alignment horizontal="right"/>
    </xf>
    <xf numFmtId="4" fontId="18" fillId="0" borderId="1" xfId="0" applyNumberFormat="1" applyFont="1" applyBorder="1" applyAlignment="1">
      <alignment horizontal="right" vertical="center"/>
    </xf>
    <xf numFmtId="10" fontId="18" fillId="0" borderId="1" xfId="0" applyNumberFormat="1" applyFont="1" applyBorder="1" applyAlignment="1">
      <alignment horizontal="right" vertical="center"/>
    </xf>
    <xf numFmtId="0" fontId="18" fillId="16" borderId="1" xfId="0" applyFont="1" applyFill="1" applyBorder="1" applyAlignment="1">
      <alignment horizontal="right" vertical="center"/>
    </xf>
    <xf numFmtId="10" fontId="18" fillId="0" borderId="28" xfId="0" applyNumberFormat="1" applyFont="1" applyBorder="1" applyAlignment="1">
      <alignment horizontal="right" vertical="center"/>
    </xf>
    <xf numFmtId="4" fontId="18" fillId="0" borderId="31" xfId="0" applyNumberFormat="1" applyFont="1" applyBorder="1" applyAlignment="1">
      <alignment horizontal="right"/>
    </xf>
    <xf numFmtId="0" fontId="18" fillId="0" borderId="1" xfId="0" applyFont="1" applyBorder="1" applyAlignment="1">
      <alignment horizontal="right" vertical="center"/>
    </xf>
    <xf numFmtId="0" fontId="18" fillId="0" borderId="1" xfId="0" applyFont="1" applyFill="1" applyBorder="1" applyAlignment="1">
      <alignment horizontal="right" vertical="center"/>
    </xf>
    <xf numFmtId="0" fontId="18" fillId="0" borderId="28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18" fillId="0" borderId="29" xfId="0" applyFont="1" applyBorder="1" applyAlignment="1">
      <alignment vertical="center"/>
    </xf>
    <xf numFmtId="0" fontId="18" fillId="0" borderId="28" xfId="0" applyFont="1" applyBorder="1" applyAlignment="1">
      <alignment vertical="center" wrapText="1"/>
    </xf>
    <xf numFmtId="0" fontId="18" fillId="0" borderId="31" xfId="0" applyFont="1" applyBorder="1" applyAlignment="1">
      <alignment vertical="center" wrapText="1"/>
    </xf>
    <xf numFmtId="0" fontId="18" fillId="0" borderId="29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/>
    </xf>
    <xf numFmtId="0" fontId="18" fillId="16" borderId="1" xfId="0" applyFont="1" applyFill="1" applyBorder="1" applyAlignment="1">
      <alignment horizontal="center" vertical="center"/>
    </xf>
    <xf numFmtId="0" fontId="18" fillId="0" borderId="28" xfId="0" applyFont="1" applyBorder="1" applyAlignment="1">
      <alignment horizontal="left" vertical="center"/>
    </xf>
    <xf numFmtId="10" fontId="18" fillId="0" borderId="1" xfId="7" applyNumberFormat="1" applyFont="1" applyBorder="1" applyAlignment="1">
      <alignment horizontal="right" vertical="top"/>
    </xf>
    <xf numFmtId="10" fontId="18" fillId="0" borderId="1" xfId="0" applyNumberFormat="1" applyFont="1" applyBorder="1" applyAlignment="1">
      <alignment horizontal="right" vertical="top"/>
    </xf>
    <xf numFmtId="0" fontId="18" fillId="0" borderId="31" xfId="0" applyFont="1" applyBorder="1" applyAlignment="1">
      <alignment horizontal="left" vertical="center"/>
    </xf>
    <xf numFmtId="4" fontId="18" fillId="0" borderId="1" xfId="0" applyNumberFormat="1" applyFont="1" applyBorder="1" applyAlignment="1">
      <alignment horizontal="right" vertical="top"/>
    </xf>
    <xf numFmtId="0" fontId="18" fillId="0" borderId="29" xfId="0" applyFont="1" applyBorder="1" applyAlignment="1">
      <alignment horizontal="left" vertical="center"/>
    </xf>
    <xf numFmtId="0" fontId="18" fillId="16" borderId="1" xfId="0" applyFont="1" applyFill="1" applyBorder="1" applyAlignment="1">
      <alignment horizontal="center" vertical="top"/>
    </xf>
    <xf numFmtId="0" fontId="18" fillId="0" borderId="1" xfId="0" applyFont="1" applyBorder="1" applyAlignment="1">
      <alignment horizontal="left" vertical="center" wrapText="1"/>
    </xf>
    <xf numFmtId="0" fontId="28" fillId="9" borderId="0" xfId="0" applyFont="1" applyFill="1" applyBorder="1" applyAlignment="1">
      <alignment vertical="center"/>
    </xf>
    <xf numFmtId="0" fontId="35" fillId="0" borderId="0" xfId="0" applyFont="1" applyAlignment="1">
      <alignment horizontal="left"/>
    </xf>
    <xf numFmtId="0" fontId="28" fillId="9" borderId="4" xfId="0" applyFont="1" applyFill="1" applyBorder="1" applyAlignment="1">
      <alignment vertical="center" wrapText="1"/>
    </xf>
    <xf numFmtId="4" fontId="18" fillId="0" borderId="28" xfId="0" applyNumberFormat="1" applyFont="1" applyFill="1" applyBorder="1" applyAlignment="1">
      <alignment horizontal="right" vertical="center"/>
    </xf>
    <xf numFmtId="4" fontId="18" fillId="0" borderId="31" xfId="0" applyNumberFormat="1" applyFont="1" applyFill="1" applyBorder="1" applyAlignment="1">
      <alignment horizontal="right" vertical="center"/>
    </xf>
    <xf numFmtId="4" fontId="35" fillId="0" borderId="0" xfId="0" applyNumberFormat="1" applyFont="1" applyAlignment="1">
      <alignment horizontal="left"/>
    </xf>
    <xf numFmtId="4" fontId="18" fillId="0" borderId="29" xfId="0" applyNumberFormat="1" applyFont="1" applyFill="1" applyBorder="1" applyAlignment="1">
      <alignment horizontal="right" vertical="center"/>
    </xf>
    <xf numFmtId="4" fontId="18" fillId="0" borderId="28" xfId="0" applyNumberFormat="1" applyFont="1" applyBorder="1" applyAlignment="1">
      <alignment horizontal="right" vertical="center"/>
    </xf>
    <xf numFmtId="4" fontId="18" fillId="0" borderId="31" xfId="0" applyNumberFormat="1" applyFont="1" applyBorder="1" applyAlignment="1">
      <alignment horizontal="right" vertical="center"/>
    </xf>
    <xf numFmtId="4" fontId="18" fillId="0" borderId="29" xfId="0" applyNumberFormat="1" applyFont="1" applyBorder="1" applyAlignment="1">
      <alignment horizontal="right" vertical="center"/>
    </xf>
    <xf numFmtId="10" fontId="18" fillId="0" borderId="28" xfId="0" applyNumberFormat="1" applyFont="1" applyBorder="1" applyAlignment="1">
      <alignment horizontal="right" vertical="top"/>
    </xf>
    <xf numFmtId="0" fontId="35" fillId="0" borderId="0" xfId="0" applyFont="1" applyAlignment="1">
      <alignment horizontal="left" vertical="top"/>
    </xf>
    <xf numFmtId="4" fontId="18" fillId="0" borderId="31" xfId="0" applyNumberFormat="1" applyFont="1" applyBorder="1" applyAlignment="1">
      <alignment horizontal="right" vertical="top"/>
    </xf>
    <xf numFmtId="0" fontId="18" fillId="16" borderId="29" xfId="0" applyFont="1" applyFill="1" applyBorder="1" applyAlignment="1">
      <alignment horizontal="center" vertical="top"/>
    </xf>
    <xf numFmtId="0" fontId="34" fillId="9" borderId="1" xfId="0" applyFont="1" applyFill="1" applyBorder="1" applyAlignment="1">
      <alignment horizontal="left" vertical="center"/>
    </xf>
    <xf numFmtId="10" fontId="18" fillId="0" borderId="1" xfId="0" applyNumberFormat="1" applyFont="1" applyBorder="1" applyAlignment="1">
      <alignment horizontal="center" vertical="center"/>
    </xf>
    <xf numFmtId="4" fontId="18" fillId="0" borderId="1" xfId="0" applyNumberFormat="1" applyFont="1" applyBorder="1"/>
    <xf numFmtId="0" fontId="18" fillId="0" borderId="0" xfId="0" applyFont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0" fillId="17" borderId="0" xfId="0" applyFont="1" applyFill="1"/>
    <xf numFmtId="0" fontId="4" fillId="0" borderId="0" xfId="0" applyFont="1" applyAlignment="1">
      <alignment vertical="center" wrapText="1"/>
    </xf>
    <xf numFmtId="0" fontId="16" fillId="2" borderId="1" xfId="0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58" fontId="16" fillId="0" borderId="0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/>
    </xf>
    <xf numFmtId="0" fontId="16" fillId="2" borderId="3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/>
    </xf>
    <xf numFmtId="0" fontId="16" fillId="0" borderId="0" xfId="0" applyFont="1" applyAlignment="1">
      <alignment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2" fontId="19" fillId="2" borderId="1" xfId="0" applyNumberFormat="1" applyFont="1" applyFill="1" applyBorder="1" applyAlignment="1">
      <alignment horizontal="center" vertical="center"/>
    </xf>
    <xf numFmtId="184" fontId="36" fillId="0" borderId="0" xfId="0" applyNumberFormat="1" applyFont="1" applyAlignment="1">
      <alignment vertical="center"/>
    </xf>
    <xf numFmtId="0" fontId="21" fillId="2" borderId="1" xfId="0" applyFont="1" applyFill="1" applyBorder="1" applyAlignment="1">
      <alignment vertical="center"/>
    </xf>
    <xf numFmtId="0" fontId="19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horizontal="center" vertical="center"/>
    </xf>
    <xf numFmtId="2" fontId="21" fillId="2" borderId="1" xfId="0" applyNumberFormat="1" applyFont="1" applyFill="1" applyBorder="1" applyAlignment="1">
      <alignment horizontal="center" vertical="center"/>
    </xf>
    <xf numFmtId="4" fontId="19" fillId="2" borderId="1" xfId="0" applyNumberFormat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right" vertical="center"/>
    </xf>
    <xf numFmtId="4" fontId="21" fillId="0" borderId="1" xfId="0" applyNumberFormat="1" applyFont="1" applyFill="1" applyBorder="1" applyAlignment="1">
      <alignment horizontal="right" vertical="center" wrapText="1"/>
    </xf>
    <xf numFmtId="184" fontId="37" fillId="0" borderId="0" xfId="0" applyNumberFormat="1" applyFont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left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left" vertical="center" wrapText="1"/>
    </xf>
    <xf numFmtId="4" fontId="21" fillId="0" borderId="1" xfId="0" applyNumberFormat="1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30" fillId="0" borderId="0" xfId="0" applyFont="1" applyFill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right" vertical="center" wrapText="1"/>
    </xf>
    <xf numFmtId="0" fontId="20" fillId="0" borderId="9" xfId="12" applyNumberFormat="1" applyFont="1" applyFill="1" applyBorder="1" applyAlignment="1" applyProtection="1">
      <alignment horizontal="center" vertical="center" wrapText="1"/>
    </xf>
    <xf numFmtId="0" fontId="30" fillId="0" borderId="0" xfId="12" applyNumberFormat="1" applyFont="1" applyFill="1" applyBorder="1" applyAlignment="1" applyProtection="1">
      <alignment horizontal="center" vertical="center" wrapText="1"/>
    </xf>
    <xf numFmtId="4" fontId="30" fillId="0" borderId="0" xfId="0" applyNumberFormat="1" applyFont="1" applyFill="1" applyBorder="1" applyAlignment="1">
      <alignment horizontal="left" vertical="top" wrapText="1"/>
    </xf>
    <xf numFmtId="2" fontId="21" fillId="2" borderId="1" xfId="0" applyNumberFormat="1" applyFont="1" applyFill="1" applyBorder="1" applyAlignment="1">
      <alignment vertical="center"/>
    </xf>
    <xf numFmtId="0" fontId="21" fillId="0" borderId="1" xfId="0" applyFont="1" applyBorder="1" applyAlignment="1">
      <alignment vertical="center" wrapText="1"/>
    </xf>
    <xf numFmtId="4" fontId="21" fillId="0" borderId="1" xfId="0" applyNumberFormat="1" applyFont="1" applyBorder="1" applyAlignment="1">
      <alignment horizontal="right" vertical="center"/>
    </xf>
    <xf numFmtId="2" fontId="21" fillId="0" borderId="1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right" vertical="center" wrapText="1"/>
    </xf>
    <xf numFmtId="0" fontId="19" fillId="0" borderId="1" xfId="0" applyFont="1" applyBorder="1" applyAlignment="1">
      <alignment vertical="center" wrapText="1"/>
    </xf>
    <xf numFmtId="4" fontId="21" fillId="0" borderId="1" xfId="0" applyNumberFormat="1" applyFont="1" applyBorder="1" applyAlignment="1">
      <alignment horizontal="right" vertical="center" wrapText="1"/>
    </xf>
    <xf numFmtId="2" fontId="19" fillId="0" borderId="1" xfId="0" applyNumberFormat="1" applyFont="1" applyBorder="1" applyAlignment="1">
      <alignment horizontal="left" vertical="center" wrapText="1"/>
    </xf>
    <xf numFmtId="0" fontId="29" fillId="0" borderId="1" xfId="0" applyFont="1" applyFill="1" applyBorder="1" applyAlignment="1">
      <alignment vertical="center" wrapText="1"/>
    </xf>
    <xf numFmtId="2" fontId="21" fillId="0" borderId="1" xfId="0" applyNumberFormat="1" applyFont="1" applyBorder="1" applyAlignment="1">
      <alignment horizontal="right" vertical="center"/>
    </xf>
    <xf numFmtId="184" fontId="37" fillId="12" borderId="0" xfId="0" applyNumberFormat="1" applyFont="1" applyFill="1" applyAlignment="1">
      <alignment vertical="center"/>
    </xf>
    <xf numFmtId="49" fontId="20" fillId="0" borderId="0" xfId="0" applyNumberFormat="1" applyFont="1" applyFill="1" applyBorder="1" applyAlignment="1">
      <alignment horizontal="left" vertical="center" wrapText="1"/>
    </xf>
    <xf numFmtId="49" fontId="20" fillId="0" borderId="9" xfId="0" applyNumberFormat="1" applyFont="1" applyFill="1" applyBorder="1" applyAlignment="1">
      <alignment horizontal="left" vertical="center" wrapText="1"/>
    </xf>
    <xf numFmtId="49" fontId="22" fillId="0" borderId="9" xfId="0" applyNumberFormat="1" applyFont="1" applyFill="1" applyBorder="1" applyAlignment="1">
      <alignment horizontal="left" vertical="center" wrapText="1"/>
    </xf>
    <xf numFmtId="0" fontId="38" fillId="0" borderId="0" xfId="0" applyFont="1" applyAlignment="1">
      <alignment vertical="center"/>
    </xf>
    <xf numFmtId="49" fontId="21" fillId="0" borderId="1" xfId="0" applyNumberFormat="1" applyFont="1" applyFill="1" applyBorder="1" applyAlignment="1">
      <alignment horizontal="center" vertical="center" wrapText="1"/>
    </xf>
    <xf numFmtId="49" fontId="20" fillId="0" borderId="9" xfId="0" applyNumberFormat="1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vertical="center" wrapText="1"/>
    </xf>
    <xf numFmtId="4" fontId="20" fillId="0" borderId="9" xfId="0" applyNumberFormat="1" applyFont="1" applyFill="1" applyBorder="1" applyAlignment="1">
      <alignment horizontal="right" vertical="center"/>
    </xf>
    <xf numFmtId="0" fontId="21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2" fontId="21" fillId="0" borderId="0" xfId="0" applyNumberFormat="1" applyFont="1" applyBorder="1" applyAlignment="1">
      <alignment horizontal="right" vertical="center" wrapText="1"/>
    </xf>
    <xf numFmtId="0" fontId="21" fillId="0" borderId="0" xfId="0" applyFont="1" applyBorder="1" applyAlignment="1">
      <alignment horizontal="right" vertical="center" wrapText="1"/>
    </xf>
    <xf numFmtId="4" fontId="21" fillId="0" borderId="0" xfId="0" applyNumberFormat="1" applyFont="1" applyBorder="1" applyAlignment="1">
      <alignment horizontal="right" vertical="center"/>
    </xf>
    <xf numFmtId="49" fontId="22" fillId="3" borderId="9" xfId="0" applyNumberFormat="1" applyFont="1" applyFill="1" applyBorder="1" applyAlignment="1">
      <alignment horizontal="center" vertical="center" wrapText="1"/>
    </xf>
    <xf numFmtId="4" fontId="22" fillId="3" borderId="5" xfId="0" applyNumberFormat="1" applyFont="1" applyFill="1" applyBorder="1" applyAlignment="1">
      <alignment horizontal="left" vertical="center" wrapText="1"/>
    </xf>
    <xf numFmtId="0" fontId="20" fillId="3" borderId="6" xfId="0" applyFont="1" applyFill="1" applyBorder="1" applyAlignment="1">
      <alignment horizontal="center" vertical="center" wrapText="1"/>
    </xf>
    <xf numFmtId="2" fontId="20" fillId="3" borderId="6" xfId="0" applyNumberFormat="1" applyFont="1" applyFill="1" applyBorder="1" applyAlignment="1">
      <alignment horizontal="right" vertical="center"/>
    </xf>
    <xf numFmtId="4" fontId="20" fillId="3" borderId="12" xfId="0" applyNumberFormat="1" applyFont="1" applyFill="1" applyBorder="1" applyAlignment="1">
      <alignment horizontal="right" vertical="center"/>
    </xf>
    <xf numFmtId="4" fontId="22" fillId="3" borderId="9" xfId="0" applyNumberFormat="1" applyFont="1" applyFill="1" applyBorder="1" applyAlignment="1">
      <alignment horizontal="right" vertical="center"/>
    </xf>
    <xf numFmtId="0" fontId="39" fillId="0" borderId="0" xfId="0" applyFont="1" applyFill="1" applyAlignment="1">
      <alignment vertical="center"/>
    </xf>
    <xf numFmtId="4" fontId="22" fillId="4" borderId="9" xfId="0" applyNumberFormat="1" applyFont="1" applyFill="1" applyBorder="1" applyAlignment="1">
      <alignment horizontal="left" vertical="center" wrapText="1"/>
    </xf>
    <xf numFmtId="4" fontId="20" fillId="0" borderId="9" xfId="0" applyNumberFormat="1" applyFont="1" applyBorder="1" applyAlignment="1">
      <alignment horizontal="left" vertical="center" wrapText="1"/>
    </xf>
    <xf numFmtId="0" fontId="22" fillId="0" borderId="9" xfId="0" applyFont="1" applyBorder="1" applyAlignment="1">
      <alignment horizontal="center" vertical="center"/>
    </xf>
    <xf numFmtId="0" fontId="22" fillId="0" borderId="9" xfId="0" applyFont="1" applyBorder="1" applyAlignment="1">
      <alignment vertical="center" wrapText="1"/>
    </xf>
    <xf numFmtId="0" fontId="20" fillId="0" borderId="9" xfId="0" applyFont="1" applyFill="1" applyBorder="1" applyAlignment="1">
      <alignment horizontal="center" vertical="center" wrapText="1"/>
    </xf>
    <xf numFmtId="2" fontId="20" fillId="0" borderId="9" xfId="0" applyNumberFormat="1" applyFont="1" applyBorder="1" applyAlignment="1">
      <alignment horizontal="right" vertical="center"/>
    </xf>
    <xf numFmtId="4" fontId="20" fillId="0" borderId="9" xfId="0" applyNumberFormat="1" applyFont="1" applyBorder="1" applyAlignment="1">
      <alignment horizontal="right" vertical="center"/>
    </xf>
    <xf numFmtId="0" fontId="20" fillId="0" borderId="9" xfId="0" applyFont="1" applyFill="1" applyBorder="1" applyAlignment="1">
      <alignment vertical="center" wrapText="1"/>
    </xf>
    <xf numFmtId="2" fontId="20" fillId="0" borderId="9" xfId="0" applyNumberFormat="1" applyFont="1" applyFill="1" applyBorder="1" applyAlignment="1">
      <alignment horizontal="right" vertical="center"/>
    </xf>
    <xf numFmtId="4" fontId="20" fillId="0" borderId="9" xfId="0" applyNumberFormat="1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vertical="center" wrapText="1"/>
    </xf>
    <xf numFmtId="4" fontId="22" fillId="0" borderId="9" xfId="0" applyNumberFormat="1" applyFont="1" applyFill="1" applyBorder="1" applyAlignment="1">
      <alignment horizontal="center" vertical="center" wrapText="1"/>
    </xf>
    <xf numFmtId="4" fontId="22" fillId="0" borderId="9" xfId="0" applyNumberFormat="1" applyFont="1" applyFill="1" applyBorder="1" applyAlignment="1">
      <alignment horizontal="left" vertical="center" wrapText="1"/>
    </xf>
    <xf numFmtId="4" fontId="20" fillId="0" borderId="9" xfId="0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39" fillId="0" borderId="0" xfId="0" applyFont="1" applyFill="1"/>
    <xf numFmtId="0" fontId="39" fillId="17" borderId="0" xfId="0" applyFont="1" applyFill="1" applyAlignment="1">
      <alignment vertical="center"/>
    </xf>
    <xf numFmtId="0" fontId="39" fillId="17" borderId="0" xfId="0" applyFont="1" applyFill="1"/>
    <xf numFmtId="0" fontId="39" fillId="0" borderId="0" xfId="0" applyFont="1"/>
    <xf numFmtId="2" fontId="20" fillId="0" borderId="9" xfId="0" applyNumberFormat="1" applyFont="1" applyFill="1" applyBorder="1" applyAlignment="1">
      <alignment horizontal="right" vertical="center" wrapText="1"/>
    </xf>
    <xf numFmtId="49" fontId="22" fillId="0" borderId="9" xfId="0" applyNumberFormat="1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40" fillId="0" borderId="9" xfId="0" applyFont="1" applyFill="1" applyBorder="1" applyAlignment="1">
      <alignment vertical="center" wrapText="1"/>
    </xf>
    <xf numFmtId="0" fontId="22" fillId="0" borderId="9" xfId="0" applyFont="1" applyFill="1" applyBorder="1" applyAlignment="1">
      <alignment horizontal="right" vertical="center" wrapText="1"/>
    </xf>
    <xf numFmtId="4" fontId="22" fillId="0" borderId="9" xfId="0" applyNumberFormat="1" applyFont="1" applyFill="1" applyBorder="1" applyAlignment="1">
      <alignment horizontal="right" vertical="center"/>
    </xf>
    <xf numFmtId="49" fontId="20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center" vertical="center" wrapText="1"/>
    </xf>
    <xf numFmtId="2" fontId="20" fillId="0" borderId="0" xfId="0" applyNumberFormat="1" applyFont="1" applyFill="1" applyBorder="1" applyAlignment="1">
      <alignment horizontal="right" vertical="center"/>
    </xf>
    <xf numFmtId="4" fontId="20" fillId="0" borderId="0" xfId="0" applyNumberFormat="1" applyFont="1" applyBorder="1" applyAlignment="1">
      <alignment horizontal="right" vertical="center"/>
    </xf>
    <xf numFmtId="0" fontId="41" fillId="0" borderId="0" xfId="0" applyFont="1" applyFill="1" applyAlignme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4" fontId="37" fillId="0" borderId="0" xfId="0" applyNumberFormat="1" applyFont="1" applyAlignment="1">
      <alignment vertical="center"/>
    </xf>
    <xf numFmtId="185" fontId="0" fillId="0" borderId="0" xfId="7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192" fontId="0" fillId="0" borderId="0" xfId="0" applyNumberFormat="1" applyFont="1" applyAlignment="1">
      <alignment vertical="center"/>
    </xf>
    <xf numFmtId="2" fontId="21" fillId="0" borderId="1" xfId="0" applyNumberFormat="1" applyFont="1" applyFill="1" applyBorder="1" applyAlignment="1">
      <alignment horizontal="center" vertical="center" wrapText="1"/>
    </xf>
    <xf numFmtId="2" fontId="19" fillId="2" borderId="1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9" fontId="21" fillId="0" borderId="1" xfId="7" applyFont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19" fillId="2" borderId="2" xfId="0" applyFont="1" applyFill="1" applyBorder="1" applyAlignment="1">
      <alignment horizontal="right" vertical="center"/>
    </xf>
    <xf numFmtId="0" fontId="19" fillId="2" borderId="3" xfId="0" applyFont="1" applyFill="1" applyBorder="1" applyAlignment="1">
      <alignment horizontal="right" vertical="center"/>
    </xf>
    <xf numFmtId="0" fontId="19" fillId="2" borderId="4" xfId="0" applyFont="1" applyFill="1" applyBorder="1" applyAlignment="1">
      <alignment horizontal="right" vertical="center"/>
    </xf>
    <xf numFmtId="193" fontId="19" fillId="2" borderId="2" xfId="0" applyNumberFormat="1" applyFont="1" applyFill="1" applyBorder="1" applyAlignment="1">
      <alignment horizontal="center" vertical="center"/>
    </xf>
    <xf numFmtId="193" fontId="19" fillId="2" borderId="4" xfId="0" applyNumberFormat="1" applyFont="1" applyFill="1" applyBorder="1" applyAlignment="1">
      <alignment horizontal="center" vertical="center"/>
    </xf>
    <xf numFmtId="2" fontId="21" fillId="0" borderId="1" xfId="0" applyNumberFormat="1" applyFont="1" applyFill="1" applyBorder="1" applyAlignment="1">
      <alignment horizontal="right" vertical="center"/>
    </xf>
    <xf numFmtId="0" fontId="42" fillId="0" borderId="0" xfId="0" applyFont="1" applyAlignment="1">
      <alignment horizontal="center" vertical="center"/>
    </xf>
    <xf numFmtId="0" fontId="42" fillId="0" borderId="0" xfId="0" applyFont="1" applyAlignment="1">
      <alignment vertical="center" wrapText="1"/>
    </xf>
    <xf numFmtId="0" fontId="18" fillId="0" borderId="2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18" fillId="0" borderId="4" xfId="0" applyFont="1" applyBorder="1" applyAlignment="1">
      <alignment horizontal="left" vertical="top" wrapText="1"/>
    </xf>
    <xf numFmtId="0" fontId="18" fillId="0" borderId="15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/>
    </xf>
    <xf numFmtId="0" fontId="16" fillId="0" borderId="0" xfId="0" applyFont="1" applyBorder="1" applyAlignment="1">
      <alignment vertical="top"/>
    </xf>
    <xf numFmtId="0" fontId="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185" fontId="0" fillId="0" borderId="0" xfId="7" applyNumberFormat="1" applyFont="1" applyBorder="1" applyAlignment="1">
      <alignment vertical="center"/>
    </xf>
    <xf numFmtId="192" fontId="0" fillId="0" borderId="0" xfId="0" applyNumberFormat="1" applyFont="1" applyBorder="1" applyAlignment="1">
      <alignment vertical="center"/>
    </xf>
    <xf numFmtId="2" fontId="0" fillId="0" borderId="0" xfId="0" applyNumberFormat="1" applyFont="1" applyBorder="1" applyAlignment="1">
      <alignment vertical="center"/>
    </xf>
  </cellXfs>
  <cellStyles count="60">
    <cellStyle name="Normal" xfId="0" builtinId="0"/>
    <cellStyle name="40% - Accent1" xfId="1" builtinId="31"/>
    <cellStyle name="Comma" xfId="2" builtinId="3"/>
    <cellStyle name="Comma [0]" xfId="3" builtinId="6"/>
    <cellStyle name="Vírgula 7" xfId="4"/>
    <cellStyle name="Currency [0]" xfId="5" builtinId="7"/>
    <cellStyle name="Currency" xfId="6" builtinId="4"/>
    <cellStyle name="Percent" xfId="7" builtinId="5"/>
    <cellStyle name="Check Cell" xfId="8" builtinId="23"/>
    <cellStyle name="Heading 2" xfId="9" builtinId="17"/>
    <cellStyle name="Note" xfId="10" builtinId="10"/>
    <cellStyle name="Hyperlink" xfId="11" builtinId="8"/>
    <cellStyle name="TableStyleLight1" xfId="12"/>
    <cellStyle name="60% - Accent4" xfId="13" builtinId="44"/>
    <cellStyle name="Followed Hyperlink" xfId="14" builtinId="9"/>
    <cellStyle name="40% - Accent3" xfId="15" builtinId="39"/>
    <cellStyle name="Warning Text" xfId="16" builtinId="11"/>
    <cellStyle name="40% - Accent2" xfId="17" builtinId="35"/>
    <cellStyle name="Title" xfId="18" builtinId="15"/>
    <cellStyle name="CExplanatory Text" xfId="19" builtinId="53"/>
    <cellStyle name="Heading 1" xfId="20" builtinId="16"/>
    <cellStyle name="Heading 3" xfId="21" builtinId="18"/>
    <cellStyle name="Normal 2 10" xfId="22"/>
    <cellStyle name="Heading 4" xfId="23" builtinId="19"/>
    <cellStyle name="Normal_aPlanilha Orçamentária Modelo" xfId="24"/>
    <cellStyle name="Input" xfId="25" builtinId="20"/>
    <cellStyle name="60% - Accent3" xfId="26" builtinId="40"/>
    <cellStyle name="Good" xfId="27" builtinId="26"/>
    <cellStyle name="Output" xfId="28" builtinId="21"/>
    <cellStyle name="20% - Accent1" xfId="29" builtinId="30"/>
    <cellStyle name="Calculation" xfId="30" builtinId="22"/>
    <cellStyle name="Linked Cell" xfId="31" builtinId="24"/>
    <cellStyle name="Total" xfId="32" builtinId="25"/>
    <cellStyle name="Bad" xfId="33" builtinId="27"/>
    <cellStyle name="Neutral" xfId="34" builtinId="28"/>
    <cellStyle name="Normal_Orçamento_Sinalização Viária" xfId="35"/>
    <cellStyle name="Normal 19" xfId="36"/>
    <cellStyle name="Accent1" xfId="37" builtinId="29"/>
    <cellStyle name="Normal 2" xfId="38"/>
    <cellStyle name="20% - Accent5" xfId="39" builtinId="46"/>
    <cellStyle name="60% - Accent1" xfId="40" builtinId="32"/>
    <cellStyle name="Accent2" xfId="41" builtinId="33"/>
    <cellStyle name="20% - Accent2" xfId="42" builtinId="34"/>
    <cellStyle name="Excel Built-in Currency" xfId="43"/>
    <cellStyle name="20% - Accent6" xfId="44" builtinId="50"/>
    <cellStyle name="60% - Accent2" xfId="45" builtinId="36"/>
    <cellStyle name="Accent3" xfId="46" builtinId="37"/>
    <cellStyle name="20% - Accent3" xfId="47" builtinId="38"/>
    <cellStyle name="Accent4" xfId="48" builtinId="41"/>
    <cellStyle name="20% - Accent4" xfId="49" builtinId="42"/>
    <cellStyle name="40% - Accent4" xfId="50" builtinId="43"/>
    <cellStyle name="Accent5" xfId="51" builtinId="45"/>
    <cellStyle name="40% - Accent5" xfId="52" builtinId="47"/>
    <cellStyle name="60% - Accent5" xfId="53" builtinId="48"/>
    <cellStyle name="Accent6" xfId="54" builtinId="49"/>
    <cellStyle name="40% - Accent6" xfId="55" builtinId="51"/>
    <cellStyle name="60% - Accent6" xfId="56" builtinId="52"/>
    <cellStyle name="Excel_BuiltIn_Comma 1" xfId="57"/>
    <cellStyle name="Normal 11" xfId="58"/>
    <cellStyle name="Normal_Pesquisa no referencial 10 de maio de 2013 2" xfId="59"/>
  </cellStyles>
  <tableStyles count="0" defaultTableStyle="TableStyleMedium2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0000"/>
  </sheetPr>
  <dimension ref="A1:IS432"/>
  <sheetViews>
    <sheetView tabSelected="1" view="pageBreakPreview" zoomScaleNormal="130" zoomScaleSheetLayoutView="100" topLeftCell="B412" workbookViewId="0">
      <selection activeCell="F424" sqref="F424:G424"/>
    </sheetView>
  </sheetViews>
  <sheetFormatPr defaultColWidth="9.14285714285714" defaultRowHeight="15.95" customHeight="1"/>
  <cols>
    <col min="1" max="1" width="9" style="589" customWidth="1"/>
    <col min="2" max="2" width="5.57142857142857" style="589" customWidth="1"/>
    <col min="3" max="3" width="48.1428571428571" style="654" customWidth="1"/>
    <col min="4" max="4" width="4.71428571428571" style="589" customWidth="1"/>
    <col min="5" max="5" width="7" style="589" customWidth="1"/>
    <col min="6" max="6" width="8.42857142857143" style="589" customWidth="1"/>
    <col min="7" max="7" width="10" style="589" customWidth="1"/>
    <col min="8" max="8" width="13.2857142857143" style="169" customWidth="1"/>
    <col min="9" max="9" width="12.2857142857143" style="169" customWidth="1"/>
    <col min="10" max="16384" width="9.14285714285714" style="169"/>
  </cols>
  <sheetData>
    <row r="1" ht="3" customHeight="1"/>
    <row r="2" customHeight="1" spans="1:13">
      <c r="A2" s="655" t="s">
        <v>0</v>
      </c>
      <c r="B2" s="655"/>
      <c r="C2" s="655"/>
      <c r="D2" s="655"/>
      <c r="E2" s="655"/>
      <c r="F2" s="655"/>
      <c r="G2" s="655"/>
      <c r="H2" s="656"/>
      <c r="I2" s="656"/>
      <c r="J2" s="656"/>
      <c r="K2" s="656"/>
      <c r="L2" s="656"/>
      <c r="M2" s="656"/>
    </row>
    <row r="3" ht="3.95" customHeight="1" spans="1:13">
      <c r="A3" s="657"/>
      <c r="B3" s="657"/>
      <c r="C3" s="658"/>
      <c r="D3" s="657"/>
      <c r="E3" s="657"/>
      <c r="F3" s="657"/>
      <c r="G3" s="657"/>
      <c r="H3" s="656"/>
      <c r="I3" s="656"/>
      <c r="J3" s="656"/>
      <c r="K3" s="656"/>
      <c r="L3" s="656"/>
      <c r="M3" s="656"/>
    </row>
    <row r="4" ht="30" customHeight="1" spans="1:7">
      <c r="A4" s="176" t="s">
        <v>1</v>
      </c>
      <c r="B4" s="177"/>
      <c r="C4" s="177"/>
      <c r="D4" s="177"/>
      <c r="E4" s="177"/>
      <c r="F4" s="177"/>
      <c r="G4" s="178"/>
    </row>
    <row r="5" ht="3.95" customHeight="1" spans="1:7">
      <c r="A5" s="657"/>
      <c r="B5" s="657"/>
      <c r="C5" s="658"/>
      <c r="D5" s="657"/>
      <c r="E5" s="657"/>
      <c r="F5" s="659"/>
      <c r="G5" s="657"/>
    </row>
    <row r="6" ht="3.95" customHeight="1" spans="1:7">
      <c r="A6" s="593"/>
      <c r="B6" s="660"/>
      <c r="C6" s="661"/>
      <c r="D6" s="593"/>
      <c r="E6" s="593"/>
      <c r="F6" s="593"/>
      <c r="G6" s="593"/>
    </row>
    <row r="7" customHeight="1" spans="1:7">
      <c r="A7" s="662" t="s">
        <v>2</v>
      </c>
      <c r="B7" s="663"/>
      <c r="C7" s="664"/>
      <c r="D7" s="655" t="s">
        <v>3</v>
      </c>
      <c r="E7" s="655"/>
      <c r="F7" s="655"/>
      <c r="G7" s="655"/>
    </row>
    <row r="8" ht="6" customHeight="1" spans="1:7">
      <c r="A8" s="593"/>
      <c r="B8" s="593"/>
      <c r="C8" s="665"/>
      <c r="D8" s="593"/>
      <c r="E8" s="593"/>
      <c r="F8" s="593"/>
      <c r="G8" s="593"/>
    </row>
    <row r="9" s="651" customFormat="1" customHeight="1" spans="1:8">
      <c r="A9" s="666" t="s">
        <v>4</v>
      </c>
      <c r="B9" s="666" t="s">
        <v>5</v>
      </c>
      <c r="C9" s="667" t="s">
        <v>6</v>
      </c>
      <c r="D9" s="666" t="s">
        <v>7</v>
      </c>
      <c r="E9" s="668" t="s">
        <v>8</v>
      </c>
      <c r="F9" s="668" t="s">
        <v>9</v>
      </c>
      <c r="G9" s="668" t="s">
        <v>10</v>
      </c>
      <c r="H9" s="669"/>
    </row>
    <row r="10" s="651" customFormat="1" ht="12.75" spans="1:8">
      <c r="A10" s="670"/>
      <c r="B10" s="666">
        <v>1</v>
      </c>
      <c r="C10" s="671" t="s">
        <v>11</v>
      </c>
      <c r="D10" s="672"/>
      <c r="E10" s="673"/>
      <c r="F10" s="673"/>
      <c r="G10" s="674">
        <f>SUM(G11:G27)</f>
        <v>23713.48</v>
      </c>
      <c r="H10" s="669"/>
    </row>
    <row r="11" s="652" customFormat="1" ht="12" spans="1:8">
      <c r="A11" s="675"/>
      <c r="B11" s="676"/>
      <c r="C11" s="677"/>
      <c r="D11" s="676"/>
      <c r="E11" s="678"/>
      <c r="F11" s="349"/>
      <c r="G11" s="677"/>
      <c r="H11" s="679"/>
    </row>
    <row r="12" s="652" customFormat="1" ht="12" spans="1:8">
      <c r="A12" s="675"/>
      <c r="B12" s="680" t="s">
        <v>12</v>
      </c>
      <c r="C12" s="681" t="s">
        <v>13</v>
      </c>
      <c r="D12" s="676"/>
      <c r="E12" s="678"/>
      <c r="F12" s="349"/>
      <c r="G12" s="677"/>
      <c r="H12" s="679"/>
    </row>
    <row r="13" s="652" customFormat="1" ht="22.5" spans="1:8">
      <c r="A13" s="682" t="s">
        <v>14</v>
      </c>
      <c r="B13" s="676" t="s">
        <v>15</v>
      </c>
      <c r="C13" s="683" t="s">
        <v>16</v>
      </c>
      <c r="D13" s="676" t="s">
        <v>17</v>
      </c>
      <c r="E13" s="678">
        <f>'PB VI - Memorial'!G9</f>
        <v>525</v>
      </c>
      <c r="F13" s="349">
        <v>1.05</v>
      </c>
      <c r="G13" s="677">
        <f>ROUND(E13*F13,2)</f>
        <v>551.25</v>
      </c>
      <c r="H13" s="679"/>
    </row>
    <row r="14" s="652" customFormat="1" ht="22.5" spans="1:8">
      <c r="A14" s="676" t="s">
        <v>18</v>
      </c>
      <c r="B14" s="676" t="s">
        <v>19</v>
      </c>
      <c r="C14" s="684" t="s">
        <v>20</v>
      </c>
      <c r="D14" s="676" t="s">
        <v>21</v>
      </c>
      <c r="E14" s="678">
        <f>'PB VI - Memorial'!C16</f>
        <v>5</v>
      </c>
      <c r="F14" s="349">
        <f>'PB VIII - Composições Auxilia'!F11</f>
        <v>317.04</v>
      </c>
      <c r="G14" s="677">
        <f t="shared" ref="G14:G15" si="0">ROUND(E14*F14,2)</f>
        <v>1585.2</v>
      </c>
      <c r="H14" s="679"/>
    </row>
    <row r="15" s="652" customFormat="1" ht="12" spans="1:8">
      <c r="A15" s="682" t="s">
        <v>22</v>
      </c>
      <c r="B15" s="676" t="s">
        <v>23</v>
      </c>
      <c r="C15" s="683" t="s">
        <v>24</v>
      </c>
      <c r="D15" s="676" t="s">
        <v>17</v>
      </c>
      <c r="E15" s="678">
        <f>'PB VI - Memorial'!G17</f>
        <v>315.25</v>
      </c>
      <c r="F15" s="349">
        <v>3.75</v>
      </c>
      <c r="G15" s="677">
        <f t="shared" si="0"/>
        <v>1182.19</v>
      </c>
      <c r="H15" s="679"/>
    </row>
    <row r="16" s="652" customFormat="1" ht="12.75" spans="1:8">
      <c r="A16" s="685"/>
      <c r="B16" s="676"/>
      <c r="C16" s="686"/>
      <c r="D16" s="676"/>
      <c r="E16" s="678"/>
      <c r="F16" s="349"/>
      <c r="G16" s="677"/>
      <c r="H16" s="679"/>
    </row>
    <row r="17" s="652" customFormat="1" ht="12" spans="1:8">
      <c r="A17" s="675"/>
      <c r="B17" s="680" t="s">
        <v>25</v>
      </c>
      <c r="C17" s="681" t="s">
        <v>26</v>
      </c>
      <c r="D17" s="676"/>
      <c r="E17" s="678"/>
      <c r="F17" s="349"/>
      <c r="G17" s="677"/>
      <c r="H17" s="679"/>
    </row>
    <row r="18" s="652" customFormat="1" ht="22.5" spans="1:8">
      <c r="A18" s="676" t="s">
        <v>27</v>
      </c>
      <c r="B18" s="676" t="s">
        <v>28</v>
      </c>
      <c r="C18" s="675" t="s">
        <v>29</v>
      </c>
      <c r="D18" s="676" t="s">
        <v>17</v>
      </c>
      <c r="E18" s="678">
        <f>'PB VI - Memorial'!G20</f>
        <v>5.18</v>
      </c>
      <c r="F18" s="349">
        <v>295.56</v>
      </c>
      <c r="G18" s="677">
        <f>ROUND(E18*F18,2)</f>
        <v>1531</v>
      </c>
      <c r="H18" s="679"/>
    </row>
    <row r="19" s="652" customFormat="1" customHeight="1" spans="1:8">
      <c r="A19" s="676">
        <v>93212</v>
      </c>
      <c r="B19" s="676" t="s">
        <v>30</v>
      </c>
      <c r="C19" s="675" t="s">
        <v>31</v>
      </c>
      <c r="D19" s="687" t="s">
        <v>17</v>
      </c>
      <c r="E19" s="349">
        <f>'PB VI - Memorial'!G21</f>
        <v>6</v>
      </c>
      <c r="F19" s="688">
        <v>536.76</v>
      </c>
      <c r="G19" s="677">
        <f t="shared" ref="G19:G27" si="1">ROUND(E19*F19,2)</f>
        <v>3220.56</v>
      </c>
      <c r="H19" s="679"/>
    </row>
    <row r="20" s="652" customFormat="1" customHeight="1" spans="1:8">
      <c r="A20" s="676" t="s">
        <v>32</v>
      </c>
      <c r="B20" s="676" t="s">
        <v>33</v>
      </c>
      <c r="C20" s="675" t="s">
        <v>34</v>
      </c>
      <c r="D20" s="676" t="s">
        <v>17</v>
      </c>
      <c r="E20" s="349">
        <f>'PB VI - Memorial'!G22</f>
        <v>6</v>
      </c>
      <c r="F20" s="688">
        <v>547.23</v>
      </c>
      <c r="G20" s="677">
        <f t="shared" si="1"/>
        <v>3283.38</v>
      </c>
      <c r="H20" s="679"/>
    </row>
    <row r="21" s="652" customFormat="1" ht="12" spans="1:8">
      <c r="A21" s="676">
        <v>93210</v>
      </c>
      <c r="B21" s="676" t="s">
        <v>35</v>
      </c>
      <c r="C21" s="675" t="s">
        <v>36</v>
      </c>
      <c r="D21" s="676" t="s">
        <v>17</v>
      </c>
      <c r="E21" s="678">
        <f>'PB VI - Memorial'!G23</f>
        <v>6</v>
      </c>
      <c r="F21" s="349">
        <v>330.55</v>
      </c>
      <c r="G21" s="677">
        <f t="shared" si="1"/>
        <v>1983.3</v>
      </c>
      <c r="H21" s="679"/>
    </row>
    <row r="22" s="652" customFormat="1" ht="12" spans="1:8">
      <c r="A22" s="689">
        <v>93208</v>
      </c>
      <c r="B22" s="676" t="s">
        <v>37</v>
      </c>
      <c r="C22" s="675" t="s">
        <v>38</v>
      </c>
      <c r="D22" s="676" t="s">
        <v>17</v>
      </c>
      <c r="E22" s="678">
        <f>'PB VI - Memorial'!G24</f>
        <v>6</v>
      </c>
      <c r="F22" s="349">
        <v>427.35</v>
      </c>
      <c r="G22" s="677">
        <f t="shared" si="1"/>
        <v>2564.1</v>
      </c>
      <c r="H22" s="679"/>
    </row>
    <row r="23" s="652" customFormat="1" ht="12" spans="1:8">
      <c r="A23" s="689">
        <v>93212</v>
      </c>
      <c r="B23" s="676" t="s">
        <v>39</v>
      </c>
      <c r="C23" s="675" t="s">
        <v>40</v>
      </c>
      <c r="D23" s="676" t="s">
        <v>17</v>
      </c>
      <c r="E23" s="678">
        <f>'PB VI - Memorial'!G25</f>
        <v>6</v>
      </c>
      <c r="F23" s="349">
        <v>536.76</v>
      </c>
      <c r="G23" s="677">
        <f t="shared" si="1"/>
        <v>3220.56</v>
      </c>
      <c r="H23" s="679"/>
    </row>
    <row r="24" s="652" customFormat="1" ht="12" spans="1:8">
      <c r="A24" s="689">
        <v>93583</v>
      </c>
      <c r="B24" s="676" t="s">
        <v>41</v>
      </c>
      <c r="C24" s="675" t="s">
        <v>42</v>
      </c>
      <c r="D24" s="676" t="s">
        <v>17</v>
      </c>
      <c r="E24" s="678">
        <f>'PB VI - Memorial'!G26</f>
        <v>6</v>
      </c>
      <c r="F24" s="349">
        <v>269.67</v>
      </c>
      <c r="G24" s="677">
        <f t="shared" si="1"/>
        <v>1618.02</v>
      </c>
      <c r="H24" s="679"/>
    </row>
    <row r="25" s="652" customFormat="1" ht="12" spans="1:8">
      <c r="A25" s="689">
        <v>93582</v>
      </c>
      <c r="B25" s="676" t="s">
        <v>43</v>
      </c>
      <c r="C25" s="675" t="s">
        <v>44</v>
      </c>
      <c r="D25" s="676" t="s">
        <v>17</v>
      </c>
      <c r="E25" s="678">
        <f>'PB VI - Memorial'!G27</f>
        <v>6</v>
      </c>
      <c r="F25" s="349">
        <v>138.04</v>
      </c>
      <c r="G25" s="677">
        <f t="shared" si="1"/>
        <v>828.24</v>
      </c>
      <c r="H25" s="679"/>
    </row>
    <row r="26" s="652" customFormat="1" ht="12" spans="1:8">
      <c r="A26" s="676">
        <v>93214</v>
      </c>
      <c r="B26" s="676" t="s">
        <v>45</v>
      </c>
      <c r="C26" s="675" t="s">
        <v>46</v>
      </c>
      <c r="D26" s="676" t="s">
        <v>21</v>
      </c>
      <c r="E26" s="678">
        <f>'PB VI - Memorial'!G28</f>
        <v>1</v>
      </c>
      <c r="F26" s="349">
        <v>965.65</v>
      </c>
      <c r="G26" s="677">
        <f t="shared" si="1"/>
        <v>965.65</v>
      </c>
      <c r="H26" s="679"/>
    </row>
    <row r="27" s="652" customFormat="1" ht="12" spans="1:8">
      <c r="A27" s="676">
        <v>41598</v>
      </c>
      <c r="B27" s="676" t="s">
        <v>47</v>
      </c>
      <c r="C27" s="675" t="s">
        <v>48</v>
      </c>
      <c r="D27" s="676" t="s">
        <v>21</v>
      </c>
      <c r="E27" s="678">
        <f>'PB VI - Memorial'!G29</f>
        <v>1</v>
      </c>
      <c r="F27" s="349">
        <v>1180.03</v>
      </c>
      <c r="G27" s="677">
        <f t="shared" si="1"/>
        <v>1180.03</v>
      </c>
      <c r="H27" s="679"/>
    </row>
    <row r="28" s="652" customFormat="1" ht="12.75" spans="1:8">
      <c r="A28" s="690"/>
      <c r="B28" s="676"/>
      <c r="C28" s="691"/>
      <c r="D28" s="676"/>
      <c r="E28" s="678"/>
      <c r="F28" s="349"/>
      <c r="G28" s="677"/>
      <c r="H28" s="679"/>
    </row>
    <row r="29" s="652" customFormat="1" ht="12.75" spans="1:8">
      <c r="A29" s="672"/>
      <c r="B29" s="666">
        <v>2</v>
      </c>
      <c r="C29" s="671" t="s">
        <v>49</v>
      </c>
      <c r="D29" s="672"/>
      <c r="E29" s="692"/>
      <c r="F29" s="692"/>
      <c r="G29" s="674">
        <f>SUM(G30:G36)</f>
        <v>6491.02</v>
      </c>
      <c r="H29" s="669"/>
    </row>
    <row r="30" s="652" customFormat="1" ht="22.5" spans="1:8">
      <c r="A30" s="676" t="s">
        <v>50</v>
      </c>
      <c r="B30" s="676" t="s">
        <v>51</v>
      </c>
      <c r="C30" s="348" t="s">
        <v>52</v>
      </c>
      <c r="D30" s="676" t="s">
        <v>17</v>
      </c>
      <c r="E30" s="349">
        <f>'PB VI - Memorial'!G40</f>
        <v>92.43</v>
      </c>
      <c r="F30" s="678">
        <f>'PB VIII - Composições Auxilia'!F17</f>
        <v>5.17</v>
      </c>
      <c r="G30" s="677">
        <f t="shared" ref="G30:G36" si="2">ROUND(E30*F30,2)</f>
        <v>477.86</v>
      </c>
      <c r="H30" s="679"/>
    </row>
    <row r="31" s="652" customFormat="1" ht="12" spans="1:8">
      <c r="A31" s="687" t="s">
        <v>53</v>
      </c>
      <c r="B31" s="676" t="s">
        <v>54</v>
      </c>
      <c r="C31" s="693" t="s">
        <v>55</v>
      </c>
      <c r="D31" s="676" t="s">
        <v>56</v>
      </c>
      <c r="E31" s="349">
        <f>'PB VI - Memorial'!G58</f>
        <v>26.34</v>
      </c>
      <c r="F31" s="688">
        <v>75.54</v>
      </c>
      <c r="G31" s="694">
        <f t="shared" si="2"/>
        <v>1989.72</v>
      </c>
      <c r="H31" s="679"/>
    </row>
    <row r="32" s="652" customFormat="1" ht="12" spans="1:8">
      <c r="A32" s="687">
        <v>85333</v>
      </c>
      <c r="B32" s="676" t="s">
        <v>57</v>
      </c>
      <c r="C32" s="693" t="s">
        <v>58</v>
      </c>
      <c r="D32" s="687" t="s">
        <v>21</v>
      </c>
      <c r="E32" s="349">
        <f>'PB VI - Memorial'!F63</f>
        <v>1</v>
      </c>
      <c r="F32" s="688">
        <v>16.08</v>
      </c>
      <c r="G32" s="694">
        <f t="shared" si="2"/>
        <v>16.08</v>
      </c>
      <c r="H32" s="679"/>
    </row>
    <row r="33" s="652" customFormat="1" ht="12" spans="1:8">
      <c r="A33" s="687">
        <v>85333</v>
      </c>
      <c r="B33" s="676" t="s">
        <v>59</v>
      </c>
      <c r="C33" s="693" t="s">
        <v>60</v>
      </c>
      <c r="D33" s="687" t="s">
        <v>21</v>
      </c>
      <c r="E33" s="349">
        <f>'PB VI - Memorial'!G63</f>
        <v>1</v>
      </c>
      <c r="F33" s="688">
        <v>16.08</v>
      </c>
      <c r="G33" s="694">
        <f t="shared" si="2"/>
        <v>16.08</v>
      </c>
      <c r="H33" s="679"/>
    </row>
    <row r="34" s="652" customFormat="1" ht="22.5" spans="1:8">
      <c r="A34" s="687" t="s">
        <v>61</v>
      </c>
      <c r="B34" s="676" t="s">
        <v>62</v>
      </c>
      <c r="C34" s="693" t="s">
        <v>63</v>
      </c>
      <c r="D34" s="687" t="s">
        <v>21</v>
      </c>
      <c r="E34" s="349">
        <v>2</v>
      </c>
      <c r="F34" s="678">
        <f>'PB VIII - Composições Auxilia'!F23</f>
        <v>12.09</v>
      </c>
      <c r="G34" s="694">
        <f t="shared" si="2"/>
        <v>24.18</v>
      </c>
      <c r="H34" s="679"/>
    </row>
    <row r="35" s="652" customFormat="1" ht="22.5" spans="1:8">
      <c r="A35" s="676" t="s">
        <v>64</v>
      </c>
      <c r="B35" s="676" t="s">
        <v>65</v>
      </c>
      <c r="C35" s="348" t="s">
        <v>66</v>
      </c>
      <c r="D35" s="676" t="s">
        <v>17</v>
      </c>
      <c r="E35" s="349">
        <f>'PB VI - Memorial'!G40</f>
        <v>92.43</v>
      </c>
      <c r="F35" s="678">
        <f>'PB VIII - Composições Auxilia'!F29</f>
        <v>23.11</v>
      </c>
      <c r="G35" s="677">
        <f t="shared" si="2"/>
        <v>2136.06</v>
      </c>
      <c r="H35" s="679"/>
    </row>
    <row r="36" s="652" customFormat="1" ht="12.75" customHeight="1" spans="1:8">
      <c r="A36" s="687" t="s">
        <v>67</v>
      </c>
      <c r="B36" s="676" t="s">
        <v>68</v>
      </c>
      <c r="C36" s="693" t="s">
        <v>69</v>
      </c>
      <c r="D36" s="687" t="s">
        <v>17</v>
      </c>
      <c r="E36" s="695">
        <f>'PB VI - Memorial'!G40</f>
        <v>92.43</v>
      </c>
      <c r="F36" s="688">
        <v>19.81</v>
      </c>
      <c r="G36" s="694">
        <f t="shared" si="2"/>
        <v>1831.04</v>
      </c>
      <c r="H36" s="679"/>
    </row>
    <row r="37" s="652" customFormat="1" ht="12.75" customHeight="1" spans="1:8">
      <c r="A37" s="696"/>
      <c r="B37" s="687"/>
      <c r="C37" s="693"/>
      <c r="D37" s="687"/>
      <c r="E37" s="695"/>
      <c r="F37" s="697"/>
      <c r="G37" s="694"/>
      <c r="H37" s="679"/>
    </row>
    <row r="38" s="652" customFormat="1" ht="12.75" customHeight="1" spans="1:8">
      <c r="A38" s="672"/>
      <c r="B38" s="666">
        <v>3</v>
      </c>
      <c r="C38" s="671" t="s">
        <v>70</v>
      </c>
      <c r="D38" s="672"/>
      <c r="E38" s="692"/>
      <c r="F38" s="692"/>
      <c r="G38" s="674">
        <f>SUM(G40:G66)</f>
        <v>45692.25</v>
      </c>
      <c r="H38" s="679"/>
    </row>
    <row r="39" s="652" customFormat="1" ht="12.75" customHeight="1" spans="1:8">
      <c r="A39" s="687"/>
      <c r="B39" s="687"/>
      <c r="C39" s="698" t="s">
        <v>71</v>
      </c>
      <c r="D39" s="687"/>
      <c r="E39" s="695"/>
      <c r="F39" s="697"/>
      <c r="G39" s="699"/>
      <c r="H39" s="679"/>
    </row>
    <row r="40" s="652" customFormat="1" ht="12.75" customHeight="1" spans="1:8">
      <c r="A40" s="687">
        <v>72215</v>
      </c>
      <c r="B40" s="687" t="s">
        <v>72</v>
      </c>
      <c r="C40" s="693" t="s">
        <v>73</v>
      </c>
      <c r="D40" s="687" t="s">
        <v>56</v>
      </c>
      <c r="E40" s="349">
        <f>'PB VI - Memorial'!G67</f>
        <v>21.68</v>
      </c>
      <c r="F40" s="688">
        <v>33.02</v>
      </c>
      <c r="G40" s="678">
        <f>ROUND(E40*F40,2)</f>
        <v>715.87</v>
      </c>
      <c r="H40" s="679"/>
    </row>
    <row r="41" s="652" customFormat="1" ht="12.75" customHeight="1" spans="1:8">
      <c r="A41" s="687">
        <v>73616</v>
      </c>
      <c r="B41" s="687" t="s">
        <v>74</v>
      </c>
      <c r="C41" s="693" t="s">
        <v>75</v>
      </c>
      <c r="D41" s="687" t="s">
        <v>56</v>
      </c>
      <c r="E41" s="349">
        <f>'PB VI - Memorial'!G69</f>
        <v>0.34</v>
      </c>
      <c r="F41" s="688">
        <v>196.41</v>
      </c>
      <c r="G41" s="678">
        <f t="shared" ref="G41:G42" si="3">ROUND(E41*F41,2)</f>
        <v>66.78</v>
      </c>
      <c r="H41" s="679"/>
    </row>
    <row r="42" s="652" customFormat="1" ht="22.5" spans="1:8">
      <c r="A42" s="687" t="s">
        <v>76</v>
      </c>
      <c r="B42" s="687" t="s">
        <v>77</v>
      </c>
      <c r="C42" s="693" t="s">
        <v>78</v>
      </c>
      <c r="D42" s="687" t="s">
        <v>17</v>
      </c>
      <c r="E42" s="349">
        <f>'PB VI - Memorial'!G71</f>
        <v>23.8</v>
      </c>
      <c r="F42" s="678">
        <f>'PB VIII - Composições Auxilia'!F35</f>
        <v>6.44</v>
      </c>
      <c r="G42" s="678">
        <f t="shared" si="3"/>
        <v>153.27</v>
      </c>
      <c r="H42" s="679"/>
    </row>
    <row r="43" s="652" customFormat="1" ht="12.75" customHeight="1" spans="1:8">
      <c r="A43" s="695"/>
      <c r="B43" s="695"/>
      <c r="C43" s="700" t="s">
        <v>79</v>
      </c>
      <c r="D43" s="695"/>
      <c r="E43" s="695"/>
      <c r="F43" s="349"/>
      <c r="G43" s="695"/>
      <c r="H43" s="679"/>
    </row>
    <row r="44" s="652" customFormat="1" ht="22.5" spans="1:8">
      <c r="A44" s="687">
        <v>93358</v>
      </c>
      <c r="B44" s="687" t="s">
        <v>80</v>
      </c>
      <c r="C44" s="693" t="s">
        <v>81</v>
      </c>
      <c r="D44" s="687" t="s">
        <v>56</v>
      </c>
      <c r="E44" s="695">
        <f>'PB VI - Memorial'!G74</f>
        <v>17.44</v>
      </c>
      <c r="F44" s="688">
        <v>52.25</v>
      </c>
      <c r="G44" s="699">
        <f>ROUND(E44*F44,2)</f>
        <v>911.24</v>
      </c>
      <c r="H44" s="679"/>
    </row>
    <row r="45" s="652" customFormat="1" ht="12.75" customHeight="1" spans="1:8">
      <c r="A45" s="687" t="s">
        <v>82</v>
      </c>
      <c r="B45" s="687" t="s">
        <v>83</v>
      </c>
      <c r="C45" s="693" t="s">
        <v>84</v>
      </c>
      <c r="D45" s="687" t="s">
        <v>56</v>
      </c>
      <c r="E45" s="695">
        <f>'PB VI - Memorial'!G75</f>
        <v>5.67</v>
      </c>
      <c r="F45" s="688">
        <v>39.63</v>
      </c>
      <c r="G45" s="699">
        <f t="shared" ref="G45:G63" si="4">ROUND(E45*F45,2)</f>
        <v>224.7</v>
      </c>
      <c r="H45" s="679"/>
    </row>
    <row r="46" s="652" customFormat="1" ht="12.75" customHeight="1" spans="1:8">
      <c r="A46" s="503"/>
      <c r="B46" s="687"/>
      <c r="C46" s="701" t="s">
        <v>85</v>
      </c>
      <c r="D46" s="687"/>
      <c r="E46" s="349"/>
      <c r="F46" s="349"/>
      <c r="G46" s="702"/>
      <c r="H46" s="679"/>
    </row>
    <row r="47" s="652" customFormat="1" ht="25.5" customHeight="1" spans="1:8">
      <c r="A47" s="687">
        <v>73361</v>
      </c>
      <c r="B47" s="687" t="s">
        <v>86</v>
      </c>
      <c r="C47" s="693" t="s">
        <v>87</v>
      </c>
      <c r="D47" s="687" t="s">
        <v>56</v>
      </c>
      <c r="E47" s="695">
        <f>'PB VI - Memorial'!G79</f>
        <v>10.46</v>
      </c>
      <c r="F47" s="688">
        <v>378.67</v>
      </c>
      <c r="G47" s="699">
        <f t="shared" si="4"/>
        <v>3960.89</v>
      </c>
      <c r="H47" s="679"/>
    </row>
    <row r="48" s="652" customFormat="1" ht="12" spans="1:9">
      <c r="A48" s="687">
        <v>94964</v>
      </c>
      <c r="B48" s="687" t="s">
        <v>88</v>
      </c>
      <c r="C48" s="693" t="s">
        <v>89</v>
      </c>
      <c r="D48" s="687" t="s">
        <v>56</v>
      </c>
      <c r="E48" s="695">
        <f>'PB VI - Memorial'!G80+'PB VI - Memorial'!G81</f>
        <v>4.5</v>
      </c>
      <c r="F48" s="688">
        <v>370.04</v>
      </c>
      <c r="G48" s="699">
        <f t="shared" si="4"/>
        <v>1665.18</v>
      </c>
      <c r="H48" s="703"/>
      <c r="I48" s="707"/>
    </row>
    <row r="49" s="652" customFormat="1" ht="12" spans="1:8">
      <c r="A49" s="687" t="s">
        <v>90</v>
      </c>
      <c r="B49" s="687" t="s">
        <v>91</v>
      </c>
      <c r="C49" s="693" t="s">
        <v>92</v>
      </c>
      <c r="D49" s="687" t="s">
        <v>56</v>
      </c>
      <c r="E49" s="695">
        <f>E48</f>
        <v>4.5</v>
      </c>
      <c r="F49" s="688">
        <v>143.94</v>
      </c>
      <c r="G49" s="699">
        <f t="shared" si="4"/>
        <v>647.73</v>
      </c>
      <c r="H49" s="679"/>
    </row>
    <row r="50" s="652" customFormat="1" ht="12.75" customHeight="1" spans="1:8">
      <c r="A50" s="687">
        <v>92777</v>
      </c>
      <c r="B50" s="687" t="s">
        <v>93</v>
      </c>
      <c r="C50" s="693" t="s">
        <v>94</v>
      </c>
      <c r="D50" s="687" t="s">
        <v>95</v>
      </c>
      <c r="E50" s="695">
        <f>'PB VI - Memorial'!G84</f>
        <v>138.25</v>
      </c>
      <c r="F50" s="688">
        <v>11.16</v>
      </c>
      <c r="G50" s="699">
        <f t="shared" si="4"/>
        <v>1542.87</v>
      </c>
      <c r="H50" s="679"/>
    </row>
    <row r="51" s="652" customFormat="1" ht="12.75" customHeight="1" spans="1:8">
      <c r="A51" s="687">
        <v>92775</v>
      </c>
      <c r="B51" s="687" t="s">
        <v>96</v>
      </c>
      <c r="C51" s="693" t="s">
        <v>97</v>
      </c>
      <c r="D51" s="687" t="s">
        <v>95</v>
      </c>
      <c r="E51" s="695">
        <f>'PB VI - Memorial'!G83</f>
        <v>38.8</v>
      </c>
      <c r="F51" s="688">
        <v>13.31</v>
      </c>
      <c r="G51" s="699">
        <f t="shared" si="4"/>
        <v>516.43</v>
      </c>
      <c r="H51" s="679"/>
    </row>
    <row r="52" s="652" customFormat="1" ht="22.5" spans="1:8">
      <c r="A52" s="687">
        <v>5651</v>
      </c>
      <c r="B52" s="687" t="s">
        <v>98</v>
      </c>
      <c r="C52" s="693" t="s">
        <v>99</v>
      </c>
      <c r="D52" s="687" t="s">
        <v>17</v>
      </c>
      <c r="E52" s="695">
        <f>'PB VI - Memorial'!G86</f>
        <v>90</v>
      </c>
      <c r="F52" s="688">
        <v>29.91</v>
      </c>
      <c r="G52" s="699">
        <f t="shared" si="4"/>
        <v>2691.9</v>
      </c>
      <c r="H52" s="679"/>
    </row>
    <row r="53" s="652" customFormat="1" ht="12.75" customHeight="1" spans="1:8">
      <c r="A53" s="704"/>
      <c r="B53" s="687"/>
      <c r="C53" s="701" t="s">
        <v>100</v>
      </c>
      <c r="D53" s="687"/>
      <c r="E53" s="349"/>
      <c r="F53" s="349"/>
      <c r="G53" s="702"/>
      <c r="H53" s="679"/>
    </row>
    <row r="54" s="652" customFormat="1" ht="12" spans="1:8">
      <c r="A54" s="687">
        <v>94964</v>
      </c>
      <c r="B54" s="687" t="s">
        <v>101</v>
      </c>
      <c r="C54" s="693" t="s">
        <v>102</v>
      </c>
      <c r="D54" s="687" t="s">
        <v>56</v>
      </c>
      <c r="E54" s="695">
        <f>'PB VI - Memorial'!G90</f>
        <v>1.98</v>
      </c>
      <c r="F54" s="688">
        <v>370.04</v>
      </c>
      <c r="G54" s="699">
        <f t="shared" si="4"/>
        <v>732.68</v>
      </c>
      <c r="H54" s="679"/>
    </row>
    <row r="55" s="652" customFormat="1" ht="12" spans="1:8">
      <c r="A55" s="687" t="s">
        <v>90</v>
      </c>
      <c r="B55" s="687" t="s">
        <v>103</v>
      </c>
      <c r="C55" s="693" t="s">
        <v>92</v>
      </c>
      <c r="D55" s="687" t="s">
        <v>56</v>
      </c>
      <c r="E55" s="695">
        <f>E54</f>
        <v>1.98</v>
      </c>
      <c r="F55" s="688">
        <v>143.94</v>
      </c>
      <c r="G55" s="699">
        <f t="shared" si="4"/>
        <v>285</v>
      </c>
      <c r="H55" s="679"/>
    </row>
    <row r="56" s="652" customFormat="1" ht="12.75" customHeight="1" spans="1:8">
      <c r="A56" s="687">
        <v>92778</v>
      </c>
      <c r="B56" s="687" t="s">
        <v>104</v>
      </c>
      <c r="C56" s="693" t="s">
        <v>105</v>
      </c>
      <c r="D56" s="687" t="s">
        <v>95</v>
      </c>
      <c r="E56" s="695">
        <f>'PB VI - Memorial'!G93</f>
        <v>224.59</v>
      </c>
      <c r="F56" s="688">
        <v>8.97</v>
      </c>
      <c r="G56" s="699">
        <f t="shared" si="4"/>
        <v>2014.57</v>
      </c>
      <c r="H56" s="679"/>
    </row>
    <row r="57" s="652" customFormat="1" ht="12.75" customHeight="1" spans="1:8">
      <c r="A57" s="687">
        <v>92775</v>
      </c>
      <c r="B57" s="687" t="s">
        <v>106</v>
      </c>
      <c r="C57" s="693" t="s">
        <v>107</v>
      </c>
      <c r="D57" s="687" t="s">
        <v>95</v>
      </c>
      <c r="E57" s="695">
        <f>'PB VI - Memorial'!G92</f>
        <v>56.59</v>
      </c>
      <c r="F57" s="688">
        <v>13.31</v>
      </c>
      <c r="G57" s="699">
        <f t="shared" si="4"/>
        <v>753.21</v>
      </c>
      <c r="H57" s="679"/>
    </row>
    <row r="58" s="652" customFormat="1" ht="22.5" spans="1:8">
      <c r="A58" s="687">
        <v>92418</v>
      </c>
      <c r="B58" s="687" t="s">
        <v>108</v>
      </c>
      <c r="C58" s="693" t="s">
        <v>109</v>
      </c>
      <c r="D58" s="687" t="s">
        <v>17</v>
      </c>
      <c r="E58" s="695">
        <f>'PB VI - Memorial'!G95</f>
        <v>52.8</v>
      </c>
      <c r="F58" s="688">
        <v>65.26</v>
      </c>
      <c r="G58" s="699">
        <f t="shared" si="4"/>
        <v>3445.73</v>
      </c>
      <c r="H58" s="679"/>
    </row>
    <row r="59" s="652" customFormat="1" ht="12.75" customHeight="1" spans="1:8">
      <c r="A59" s="705"/>
      <c r="B59" s="705"/>
      <c r="C59" s="706" t="s">
        <v>110</v>
      </c>
      <c r="D59" s="705"/>
      <c r="E59" s="705"/>
      <c r="F59" s="705"/>
      <c r="G59" s="705"/>
      <c r="H59" s="679"/>
    </row>
    <row r="60" s="652" customFormat="1" ht="38.25" customHeight="1" spans="1:8">
      <c r="A60" s="687">
        <v>89168</v>
      </c>
      <c r="B60" s="687" t="s">
        <v>111</v>
      </c>
      <c r="C60" s="693" t="s">
        <v>112</v>
      </c>
      <c r="D60" s="687" t="s">
        <v>17</v>
      </c>
      <c r="E60" s="695">
        <f>'PB VI - Memorial'!G98</f>
        <v>191.84</v>
      </c>
      <c r="F60" s="688">
        <v>58.27</v>
      </c>
      <c r="G60" s="699">
        <f t="shared" si="4"/>
        <v>11178.52</v>
      </c>
      <c r="H60" s="679"/>
    </row>
    <row r="61" s="652" customFormat="1" ht="22.5" spans="1:8">
      <c r="A61" s="687">
        <v>87894</v>
      </c>
      <c r="B61" s="687" t="s">
        <v>113</v>
      </c>
      <c r="C61" s="693" t="s">
        <v>114</v>
      </c>
      <c r="D61" s="687" t="s">
        <v>17</v>
      </c>
      <c r="E61" s="695">
        <f>'PB VI - Memorial'!G100</f>
        <v>383.68</v>
      </c>
      <c r="F61" s="688">
        <v>4.8</v>
      </c>
      <c r="G61" s="699">
        <f t="shared" si="4"/>
        <v>1841.66</v>
      </c>
      <c r="H61" s="679"/>
    </row>
    <row r="62" s="652" customFormat="1" ht="45" spans="1:8">
      <c r="A62" s="687">
        <v>89173</v>
      </c>
      <c r="B62" s="687" t="s">
        <v>115</v>
      </c>
      <c r="C62" s="693" t="s">
        <v>116</v>
      </c>
      <c r="D62" s="687" t="s">
        <v>17</v>
      </c>
      <c r="E62" s="695">
        <f>'PB VI - Memorial'!G101</f>
        <v>383.68</v>
      </c>
      <c r="F62" s="688">
        <v>25.24</v>
      </c>
      <c r="G62" s="699">
        <f t="shared" si="4"/>
        <v>9684.08</v>
      </c>
      <c r="H62" s="679"/>
    </row>
    <row r="63" s="652" customFormat="1" ht="22.5" spans="1:8">
      <c r="A63" s="687" t="s">
        <v>117</v>
      </c>
      <c r="B63" s="687" t="s">
        <v>118</v>
      </c>
      <c r="C63" s="693" t="s">
        <v>119</v>
      </c>
      <c r="D63" s="687" t="s">
        <v>120</v>
      </c>
      <c r="E63" s="695">
        <f>'PB VI - Memorial'!G102</f>
        <v>87.2</v>
      </c>
      <c r="F63" s="349">
        <f>ROUND(413.09*0.03*0.25+3.82,2)</f>
        <v>6.92</v>
      </c>
      <c r="G63" s="699">
        <f t="shared" si="4"/>
        <v>603.42</v>
      </c>
      <c r="H63" s="679"/>
    </row>
    <row r="64" s="652" customFormat="1" ht="12" spans="1:8">
      <c r="A64" s="687"/>
      <c r="B64" s="687"/>
      <c r="C64" s="706" t="s">
        <v>121</v>
      </c>
      <c r="D64" s="687"/>
      <c r="E64" s="695"/>
      <c r="F64" s="697"/>
      <c r="G64" s="699"/>
      <c r="H64" s="679"/>
    </row>
    <row r="65" s="652" customFormat="1" ht="12" spans="1:8">
      <c r="A65" s="708" t="s">
        <v>122</v>
      </c>
      <c r="B65" s="687" t="s">
        <v>123</v>
      </c>
      <c r="C65" s="696" t="s">
        <v>124</v>
      </c>
      <c r="D65" s="687" t="s">
        <v>17</v>
      </c>
      <c r="E65" s="349">
        <f>'PB VI - Memorial'!G105</f>
        <v>191.84</v>
      </c>
      <c r="F65" s="349">
        <v>1.55</v>
      </c>
      <c r="G65" s="694">
        <f>ROUND(E65*F65,2)</f>
        <v>297.35</v>
      </c>
      <c r="H65" s="679"/>
    </row>
    <row r="66" s="652" customFormat="1" ht="22.5" spans="1:8">
      <c r="A66" s="708" t="s">
        <v>125</v>
      </c>
      <c r="B66" s="687" t="s">
        <v>126</v>
      </c>
      <c r="C66" s="696" t="s">
        <v>127</v>
      </c>
      <c r="D66" s="687" t="s">
        <v>17</v>
      </c>
      <c r="E66" s="349">
        <f>E65</f>
        <v>191.84</v>
      </c>
      <c r="F66" s="349">
        <v>9.17</v>
      </c>
      <c r="G66" s="694">
        <f>ROUND(E66*F66,2)</f>
        <v>1759.17</v>
      </c>
      <c r="H66" s="679"/>
    </row>
    <row r="67" s="652" customFormat="1" ht="12" spans="1:8">
      <c r="A67" s="687"/>
      <c r="B67" s="687"/>
      <c r="C67" s="693"/>
      <c r="D67" s="687"/>
      <c r="E67" s="695"/>
      <c r="F67" s="697"/>
      <c r="G67" s="699"/>
      <c r="H67" s="679"/>
    </row>
    <row r="68" s="652" customFormat="1" ht="12.75" customHeight="1" spans="1:8">
      <c r="A68" s="672"/>
      <c r="B68" s="666">
        <v>4</v>
      </c>
      <c r="C68" s="671" t="s">
        <v>128</v>
      </c>
      <c r="D68" s="672"/>
      <c r="E68" s="692"/>
      <c r="F68" s="692"/>
      <c r="G68" s="674">
        <f>ROUND(G69+G70,2)</f>
        <v>8304.8</v>
      </c>
      <c r="H68" s="679"/>
    </row>
    <row r="69" s="652" customFormat="1" ht="25.5" spans="1:8">
      <c r="A69" s="709" t="s">
        <v>129</v>
      </c>
      <c r="B69" s="687" t="s">
        <v>130</v>
      </c>
      <c r="C69" s="710" t="s">
        <v>131</v>
      </c>
      <c r="D69" s="687" t="s">
        <v>56</v>
      </c>
      <c r="E69" s="349">
        <f>'PB VI - Memorial'!G125</f>
        <v>99.29</v>
      </c>
      <c r="F69" s="349">
        <v>52.25</v>
      </c>
      <c r="G69" s="711">
        <f>ROUND(E69*F69,2)</f>
        <v>5187.9</v>
      </c>
      <c r="H69" s="679"/>
    </row>
    <row r="70" s="652" customFormat="1" ht="12.75" customHeight="1" spans="1:8">
      <c r="A70" s="709" t="s">
        <v>132</v>
      </c>
      <c r="B70" s="687" t="s">
        <v>133</v>
      </c>
      <c r="C70" s="710" t="s">
        <v>134</v>
      </c>
      <c r="D70" s="687" t="s">
        <v>56</v>
      </c>
      <c r="E70" s="349">
        <f>E69-E75</f>
        <v>78.65</v>
      </c>
      <c r="F70" s="349">
        <v>39.63</v>
      </c>
      <c r="G70" s="711">
        <f>ROUND(E70*F70,2)</f>
        <v>3116.9</v>
      </c>
      <c r="H70" s="679"/>
    </row>
    <row r="71" s="652" customFormat="1" ht="12.75" customHeight="1" spans="1:8">
      <c r="A71" s="712"/>
      <c r="B71" s="713"/>
      <c r="C71" s="714"/>
      <c r="D71" s="713"/>
      <c r="E71" s="715"/>
      <c r="F71" s="716"/>
      <c r="G71" s="717"/>
      <c r="H71" s="679"/>
    </row>
    <row r="72" s="73" customFormat="1" ht="15" spans="1:253">
      <c r="A72" s="718"/>
      <c r="B72" s="718" t="s">
        <v>135</v>
      </c>
      <c r="C72" s="719" t="s">
        <v>136</v>
      </c>
      <c r="D72" s="720"/>
      <c r="E72" s="721"/>
      <c r="F72" s="722"/>
      <c r="G72" s="723">
        <f>SUM(G75:G137)</f>
        <v>132362.03</v>
      </c>
      <c r="H72" s="724"/>
      <c r="I72" s="724"/>
      <c r="J72" s="724"/>
      <c r="K72" s="724"/>
      <c r="L72" s="724"/>
      <c r="M72" s="724"/>
      <c r="N72" s="741"/>
      <c r="O72" s="741"/>
      <c r="P72" s="741"/>
      <c r="Q72" s="741"/>
      <c r="R72" s="741"/>
      <c r="S72" s="741"/>
      <c r="T72" s="741"/>
      <c r="U72" s="741"/>
      <c r="V72" s="741"/>
      <c r="W72" s="741"/>
      <c r="X72" s="741"/>
      <c r="Y72" s="741"/>
      <c r="Z72" s="741"/>
      <c r="AA72" s="741"/>
      <c r="AB72" s="741"/>
      <c r="AC72" s="741"/>
      <c r="AD72" s="741"/>
      <c r="AE72" s="741"/>
      <c r="AF72" s="741"/>
      <c r="AG72" s="741"/>
      <c r="AH72" s="741"/>
      <c r="AI72" s="741"/>
      <c r="AJ72" s="741"/>
      <c r="AK72" s="741"/>
      <c r="AL72" s="741"/>
      <c r="AM72" s="741"/>
      <c r="AN72" s="741"/>
      <c r="AO72" s="741"/>
      <c r="AP72" s="741"/>
      <c r="AQ72" s="741"/>
      <c r="AR72" s="741"/>
      <c r="AS72" s="741"/>
      <c r="AT72" s="741"/>
      <c r="AU72" s="741"/>
      <c r="AV72" s="741"/>
      <c r="AW72" s="741"/>
      <c r="AX72" s="741"/>
      <c r="AY72" s="741"/>
      <c r="AZ72" s="741"/>
      <c r="BA72" s="741"/>
      <c r="BB72" s="741"/>
      <c r="BC72" s="741"/>
      <c r="BD72" s="741"/>
      <c r="BE72" s="741"/>
      <c r="BF72" s="741"/>
      <c r="BG72" s="741"/>
      <c r="BH72" s="741"/>
      <c r="BI72" s="741"/>
      <c r="BJ72" s="741"/>
      <c r="BK72" s="741"/>
      <c r="BL72" s="741"/>
      <c r="BM72" s="741"/>
      <c r="BN72" s="741"/>
      <c r="BO72" s="741"/>
      <c r="BP72" s="741"/>
      <c r="BQ72" s="741"/>
      <c r="BR72" s="741"/>
      <c r="BS72" s="741"/>
      <c r="BT72" s="741"/>
      <c r="BU72" s="741"/>
      <c r="BV72" s="741"/>
      <c r="BW72" s="744"/>
      <c r="BX72" s="744"/>
      <c r="BY72" s="744"/>
      <c r="BZ72" s="744"/>
      <c r="CA72" s="744"/>
      <c r="CB72" s="744"/>
      <c r="CC72" s="744"/>
      <c r="CD72" s="744"/>
      <c r="CE72" s="744"/>
      <c r="CF72" s="744"/>
      <c r="CG72" s="744"/>
      <c r="CH72" s="744"/>
      <c r="CI72" s="744"/>
      <c r="CJ72" s="744"/>
      <c r="CK72" s="744"/>
      <c r="CL72" s="744"/>
      <c r="CM72" s="744"/>
      <c r="CN72" s="744"/>
      <c r="CO72" s="744"/>
      <c r="CP72" s="744"/>
      <c r="CQ72" s="744"/>
      <c r="CR72" s="744"/>
      <c r="CS72" s="744"/>
      <c r="CT72" s="744"/>
      <c r="CU72" s="744"/>
      <c r="CV72" s="744"/>
      <c r="CW72" s="744"/>
      <c r="CX72" s="744"/>
      <c r="CY72" s="744"/>
      <c r="CZ72" s="744"/>
      <c r="DA72" s="744"/>
      <c r="DB72" s="744"/>
      <c r="DC72" s="744"/>
      <c r="DD72" s="744"/>
      <c r="DE72" s="744"/>
      <c r="DF72" s="744"/>
      <c r="DG72" s="744"/>
      <c r="DH72" s="744"/>
      <c r="DI72" s="744"/>
      <c r="DJ72" s="744"/>
      <c r="DK72" s="744"/>
      <c r="DL72" s="744"/>
      <c r="DM72" s="744"/>
      <c r="DN72" s="744"/>
      <c r="DO72" s="744"/>
      <c r="DP72" s="744"/>
      <c r="DQ72" s="744"/>
      <c r="DR72" s="744"/>
      <c r="DS72" s="744"/>
      <c r="DT72" s="744"/>
      <c r="DU72" s="744"/>
      <c r="DV72" s="744"/>
      <c r="DW72" s="744"/>
      <c r="DX72" s="744"/>
      <c r="DY72" s="744"/>
      <c r="DZ72" s="744"/>
      <c r="EA72" s="744"/>
      <c r="EB72" s="744"/>
      <c r="EC72" s="744"/>
      <c r="ED72" s="744"/>
      <c r="EE72" s="744"/>
      <c r="EF72" s="744"/>
      <c r="EG72" s="744"/>
      <c r="EH72" s="744"/>
      <c r="EI72" s="744"/>
      <c r="EJ72" s="744"/>
      <c r="EK72" s="744"/>
      <c r="EL72" s="744"/>
      <c r="EM72" s="744"/>
      <c r="EN72" s="744"/>
      <c r="EO72" s="744"/>
      <c r="EP72" s="744"/>
      <c r="EQ72" s="744"/>
      <c r="ER72" s="744"/>
      <c r="ES72" s="744"/>
      <c r="ET72" s="744"/>
      <c r="EU72" s="744"/>
      <c r="EV72" s="744"/>
      <c r="EW72" s="744"/>
      <c r="EX72" s="744"/>
      <c r="EY72" s="744"/>
      <c r="EZ72" s="744"/>
      <c r="FA72" s="744"/>
      <c r="FB72" s="744"/>
      <c r="FC72" s="744"/>
      <c r="FD72" s="744"/>
      <c r="FE72" s="744"/>
      <c r="FF72" s="744"/>
      <c r="FG72" s="744"/>
      <c r="FH72" s="744"/>
      <c r="FI72" s="744"/>
      <c r="FJ72" s="744"/>
      <c r="FK72" s="744"/>
      <c r="FL72" s="744"/>
      <c r="FM72" s="744"/>
      <c r="FN72" s="744"/>
      <c r="FO72" s="744"/>
      <c r="FP72" s="744"/>
      <c r="FQ72" s="744"/>
      <c r="FR72" s="744"/>
      <c r="FS72" s="744"/>
      <c r="FT72" s="744"/>
      <c r="FU72" s="744"/>
      <c r="FV72" s="744"/>
      <c r="FW72" s="744"/>
      <c r="FX72" s="744"/>
      <c r="FY72" s="744"/>
      <c r="FZ72" s="744"/>
      <c r="GA72" s="744"/>
      <c r="GB72" s="744"/>
      <c r="GC72" s="744"/>
      <c r="GD72" s="744"/>
      <c r="GE72" s="744"/>
      <c r="GF72" s="744"/>
      <c r="GG72" s="744"/>
      <c r="GH72" s="744"/>
      <c r="GI72" s="744"/>
      <c r="GJ72" s="744"/>
      <c r="GK72" s="744"/>
      <c r="GL72" s="744"/>
      <c r="GM72" s="744"/>
      <c r="GN72" s="744"/>
      <c r="GO72" s="744"/>
      <c r="GP72" s="744"/>
      <c r="GQ72" s="744"/>
      <c r="GR72" s="744"/>
      <c r="GS72" s="744"/>
      <c r="GT72" s="744"/>
      <c r="GU72" s="744"/>
      <c r="GV72" s="744"/>
      <c r="GW72" s="744"/>
      <c r="GX72" s="744"/>
      <c r="GY72" s="744"/>
      <c r="GZ72" s="744"/>
      <c r="HA72" s="744"/>
      <c r="HB72" s="744"/>
      <c r="HC72" s="744"/>
      <c r="HD72" s="744"/>
      <c r="HE72" s="744"/>
      <c r="HF72" s="744"/>
      <c r="HG72" s="744"/>
      <c r="HH72" s="744"/>
      <c r="HI72" s="744"/>
      <c r="HJ72" s="744"/>
      <c r="HK72" s="744"/>
      <c r="HL72" s="744"/>
      <c r="HM72" s="744"/>
      <c r="HN72" s="744"/>
      <c r="HO72" s="744"/>
      <c r="HP72" s="744"/>
      <c r="HQ72" s="744"/>
      <c r="HR72" s="744"/>
      <c r="HS72" s="744"/>
      <c r="HT72" s="744"/>
      <c r="HU72" s="744"/>
      <c r="HV72" s="744"/>
      <c r="HW72" s="744"/>
      <c r="HX72" s="744"/>
      <c r="HY72" s="744"/>
      <c r="HZ72" s="744"/>
      <c r="IA72" s="744"/>
      <c r="IB72" s="744"/>
      <c r="IC72" s="744"/>
      <c r="ID72" s="744"/>
      <c r="IE72" s="744"/>
      <c r="IF72" s="744"/>
      <c r="IG72" s="744"/>
      <c r="IH72" s="744"/>
      <c r="II72" s="744"/>
      <c r="IJ72" s="744"/>
      <c r="IK72" s="744"/>
      <c r="IL72" s="744"/>
      <c r="IM72" s="744"/>
      <c r="IN72" s="744"/>
      <c r="IO72" s="744"/>
      <c r="IP72" s="744"/>
      <c r="IQ72" s="744"/>
      <c r="IR72" s="744"/>
      <c r="IS72" s="744"/>
    </row>
    <row r="73" s="73" customFormat="1" ht="15" spans="1:253">
      <c r="A73" s="725"/>
      <c r="B73" s="725"/>
      <c r="C73" s="725" t="s">
        <v>85</v>
      </c>
      <c r="D73" s="725"/>
      <c r="E73" s="725"/>
      <c r="F73" s="725"/>
      <c r="G73" s="725"/>
      <c r="H73" s="724"/>
      <c r="I73" s="724"/>
      <c r="J73" s="724"/>
      <c r="K73" s="724"/>
      <c r="L73" s="724"/>
      <c r="M73" s="724"/>
      <c r="N73" s="741"/>
      <c r="O73" s="741"/>
      <c r="P73" s="741"/>
      <c r="Q73" s="741"/>
      <c r="R73" s="741"/>
      <c r="S73" s="741"/>
      <c r="T73" s="741"/>
      <c r="U73" s="741"/>
      <c r="V73" s="741"/>
      <c r="W73" s="741"/>
      <c r="X73" s="741"/>
      <c r="Y73" s="741"/>
      <c r="Z73" s="741"/>
      <c r="AA73" s="741"/>
      <c r="AB73" s="741"/>
      <c r="AC73" s="741"/>
      <c r="AD73" s="741"/>
      <c r="AE73" s="741"/>
      <c r="AF73" s="741"/>
      <c r="AG73" s="741"/>
      <c r="AH73" s="741"/>
      <c r="AI73" s="741"/>
      <c r="AJ73" s="741"/>
      <c r="AK73" s="741"/>
      <c r="AL73" s="741"/>
      <c r="AM73" s="741"/>
      <c r="AN73" s="741"/>
      <c r="AO73" s="741"/>
      <c r="AP73" s="741"/>
      <c r="AQ73" s="741"/>
      <c r="AR73" s="741"/>
      <c r="AS73" s="741"/>
      <c r="AT73" s="741"/>
      <c r="AU73" s="741"/>
      <c r="AV73" s="741"/>
      <c r="AW73" s="741"/>
      <c r="AX73" s="741"/>
      <c r="AY73" s="741"/>
      <c r="AZ73" s="741"/>
      <c r="BA73" s="741"/>
      <c r="BB73" s="741"/>
      <c r="BC73" s="741"/>
      <c r="BD73" s="741"/>
      <c r="BE73" s="741"/>
      <c r="BF73" s="741"/>
      <c r="BG73" s="741"/>
      <c r="BH73" s="741"/>
      <c r="BI73" s="741"/>
      <c r="BJ73" s="741"/>
      <c r="BK73" s="741"/>
      <c r="BL73" s="741"/>
      <c r="BM73" s="741"/>
      <c r="BN73" s="741"/>
      <c r="BO73" s="741"/>
      <c r="BP73" s="741"/>
      <c r="BQ73" s="741"/>
      <c r="BR73" s="741"/>
      <c r="BS73" s="741"/>
      <c r="BT73" s="741"/>
      <c r="BU73" s="741"/>
      <c r="BV73" s="741"/>
      <c r="BW73" s="744"/>
      <c r="BX73" s="744"/>
      <c r="BY73" s="744"/>
      <c r="BZ73" s="744"/>
      <c r="CA73" s="744"/>
      <c r="CB73" s="744"/>
      <c r="CC73" s="744"/>
      <c r="CD73" s="744"/>
      <c r="CE73" s="744"/>
      <c r="CF73" s="744"/>
      <c r="CG73" s="744"/>
      <c r="CH73" s="744"/>
      <c r="CI73" s="744"/>
      <c r="CJ73" s="744"/>
      <c r="CK73" s="744"/>
      <c r="CL73" s="744"/>
      <c r="CM73" s="744"/>
      <c r="CN73" s="744"/>
      <c r="CO73" s="744"/>
      <c r="CP73" s="744"/>
      <c r="CQ73" s="744"/>
      <c r="CR73" s="744"/>
      <c r="CS73" s="744"/>
      <c r="CT73" s="744"/>
      <c r="CU73" s="744"/>
      <c r="CV73" s="744"/>
      <c r="CW73" s="744"/>
      <c r="CX73" s="744"/>
      <c r="CY73" s="744"/>
      <c r="CZ73" s="744"/>
      <c r="DA73" s="744"/>
      <c r="DB73" s="744"/>
      <c r="DC73" s="744"/>
      <c r="DD73" s="744"/>
      <c r="DE73" s="744"/>
      <c r="DF73" s="744"/>
      <c r="DG73" s="744"/>
      <c r="DH73" s="744"/>
      <c r="DI73" s="744"/>
      <c r="DJ73" s="744"/>
      <c r="DK73" s="744"/>
      <c r="DL73" s="744"/>
      <c r="DM73" s="744"/>
      <c r="DN73" s="744"/>
      <c r="DO73" s="744"/>
      <c r="DP73" s="744"/>
      <c r="DQ73" s="744"/>
      <c r="DR73" s="744"/>
      <c r="DS73" s="744"/>
      <c r="DT73" s="744"/>
      <c r="DU73" s="744"/>
      <c r="DV73" s="744"/>
      <c r="DW73" s="744"/>
      <c r="DX73" s="744"/>
      <c r="DY73" s="744"/>
      <c r="DZ73" s="744"/>
      <c r="EA73" s="744"/>
      <c r="EB73" s="744"/>
      <c r="EC73" s="744"/>
      <c r="ED73" s="744"/>
      <c r="EE73" s="744"/>
      <c r="EF73" s="744"/>
      <c r="EG73" s="744"/>
      <c r="EH73" s="744"/>
      <c r="EI73" s="744"/>
      <c r="EJ73" s="744"/>
      <c r="EK73" s="744"/>
      <c r="EL73" s="744"/>
      <c r="EM73" s="744"/>
      <c r="EN73" s="744"/>
      <c r="EO73" s="744"/>
      <c r="EP73" s="744"/>
      <c r="EQ73" s="744"/>
      <c r="ER73" s="744"/>
      <c r="ES73" s="744"/>
      <c r="ET73" s="744"/>
      <c r="EU73" s="744"/>
      <c r="EV73" s="744"/>
      <c r="EW73" s="744"/>
      <c r="EX73" s="744"/>
      <c r="EY73" s="744"/>
      <c r="EZ73" s="744"/>
      <c r="FA73" s="744"/>
      <c r="FB73" s="744"/>
      <c r="FC73" s="744"/>
      <c r="FD73" s="744"/>
      <c r="FE73" s="744"/>
      <c r="FF73" s="744"/>
      <c r="FG73" s="744"/>
      <c r="FH73" s="744"/>
      <c r="FI73" s="744"/>
      <c r="FJ73" s="744"/>
      <c r="FK73" s="744"/>
      <c r="FL73" s="744"/>
      <c r="FM73" s="744"/>
      <c r="FN73" s="744"/>
      <c r="FO73" s="744"/>
      <c r="FP73" s="744"/>
      <c r="FQ73" s="744"/>
      <c r="FR73" s="744"/>
      <c r="FS73" s="744"/>
      <c r="FT73" s="744"/>
      <c r="FU73" s="744"/>
      <c r="FV73" s="744"/>
      <c r="FW73" s="744"/>
      <c r="FX73" s="744"/>
      <c r="FY73" s="744"/>
      <c r="FZ73" s="744"/>
      <c r="GA73" s="744"/>
      <c r="GB73" s="744"/>
      <c r="GC73" s="744"/>
      <c r="GD73" s="744"/>
      <c r="GE73" s="744"/>
      <c r="GF73" s="744"/>
      <c r="GG73" s="744"/>
      <c r="GH73" s="744"/>
      <c r="GI73" s="744"/>
      <c r="GJ73" s="744"/>
      <c r="GK73" s="744"/>
      <c r="GL73" s="744"/>
      <c r="GM73" s="744"/>
      <c r="GN73" s="744"/>
      <c r="GO73" s="744"/>
      <c r="GP73" s="744"/>
      <c r="GQ73" s="744"/>
      <c r="GR73" s="744"/>
      <c r="GS73" s="744"/>
      <c r="GT73" s="744"/>
      <c r="GU73" s="744"/>
      <c r="GV73" s="744"/>
      <c r="GW73" s="744"/>
      <c r="GX73" s="744"/>
      <c r="GY73" s="744"/>
      <c r="GZ73" s="744"/>
      <c r="HA73" s="744"/>
      <c r="HB73" s="744"/>
      <c r="HC73" s="744"/>
      <c r="HD73" s="744"/>
      <c r="HE73" s="744"/>
      <c r="HF73" s="744"/>
      <c r="HG73" s="744"/>
      <c r="HH73" s="744"/>
      <c r="HI73" s="744"/>
      <c r="HJ73" s="744"/>
      <c r="HK73" s="744"/>
      <c r="HL73" s="744"/>
      <c r="HM73" s="744"/>
      <c r="HN73" s="744"/>
      <c r="HO73" s="744"/>
      <c r="HP73" s="744"/>
      <c r="HQ73" s="744"/>
      <c r="HR73" s="744"/>
      <c r="HS73" s="744"/>
      <c r="HT73" s="744"/>
      <c r="HU73" s="744"/>
      <c r="HV73" s="744"/>
      <c r="HW73" s="744"/>
      <c r="HX73" s="744"/>
      <c r="HY73" s="744"/>
      <c r="HZ73" s="744"/>
      <c r="IA73" s="744"/>
      <c r="IB73" s="744"/>
      <c r="IC73" s="744"/>
      <c r="ID73" s="744"/>
      <c r="IE73" s="744"/>
      <c r="IF73" s="744"/>
      <c r="IG73" s="744"/>
      <c r="IH73" s="744"/>
      <c r="II73" s="744"/>
      <c r="IJ73" s="744"/>
      <c r="IK73" s="744"/>
      <c r="IL73" s="744"/>
      <c r="IM73" s="744"/>
      <c r="IN73" s="744"/>
      <c r="IO73" s="744"/>
      <c r="IP73" s="744"/>
      <c r="IQ73" s="744"/>
      <c r="IR73" s="744"/>
      <c r="IS73" s="744"/>
    </row>
    <row r="74" s="73" customFormat="1" ht="21" spans="1:253">
      <c r="A74" s="726"/>
      <c r="B74" s="727" t="s">
        <v>137</v>
      </c>
      <c r="C74" s="728" t="s">
        <v>138</v>
      </c>
      <c r="D74" s="729"/>
      <c r="E74" s="730"/>
      <c r="F74" s="731"/>
      <c r="G74" s="731"/>
      <c r="H74" s="724"/>
      <c r="I74" s="724"/>
      <c r="J74" s="724"/>
      <c r="K74" s="724"/>
      <c r="L74" s="724"/>
      <c r="M74" s="724"/>
      <c r="N74" s="741"/>
      <c r="O74" s="741"/>
      <c r="P74" s="741"/>
      <c r="Q74" s="741"/>
      <c r="R74" s="741"/>
      <c r="S74" s="741"/>
      <c r="T74" s="741"/>
      <c r="U74" s="741"/>
      <c r="V74" s="741"/>
      <c r="W74" s="741"/>
      <c r="X74" s="741"/>
      <c r="Y74" s="741"/>
      <c r="Z74" s="741"/>
      <c r="AA74" s="741"/>
      <c r="AB74" s="741"/>
      <c r="AC74" s="741"/>
      <c r="AD74" s="741"/>
      <c r="AE74" s="741"/>
      <c r="AF74" s="741"/>
      <c r="AG74" s="741"/>
      <c r="AH74" s="741"/>
      <c r="AI74" s="741"/>
      <c r="AJ74" s="741"/>
      <c r="AK74" s="741"/>
      <c r="AL74" s="741"/>
      <c r="AM74" s="741"/>
      <c r="AN74" s="741"/>
      <c r="AO74" s="741"/>
      <c r="AP74" s="741"/>
      <c r="AQ74" s="741"/>
      <c r="AR74" s="741"/>
      <c r="AS74" s="741"/>
      <c r="AT74" s="741"/>
      <c r="AU74" s="741"/>
      <c r="AV74" s="741"/>
      <c r="AW74" s="741"/>
      <c r="AX74" s="741"/>
      <c r="AY74" s="741"/>
      <c r="AZ74" s="741"/>
      <c r="BA74" s="741"/>
      <c r="BB74" s="741"/>
      <c r="BC74" s="741"/>
      <c r="BD74" s="741"/>
      <c r="BE74" s="741"/>
      <c r="BF74" s="741"/>
      <c r="BG74" s="741"/>
      <c r="BH74" s="741"/>
      <c r="BI74" s="741"/>
      <c r="BJ74" s="741"/>
      <c r="BK74" s="741"/>
      <c r="BL74" s="741"/>
      <c r="BM74" s="741"/>
      <c r="BN74" s="741"/>
      <c r="BO74" s="741"/>
      <c r="BP74" s="741"/>
      <c r="BQ74" s="741"/>
      <c r="BR74" s="741"/>
      <c r="BS74" s="741"/>
      <c r="BT74" s="741"/>
      <c r="BU74" s="741"/>
      <c r="BV74" s="741"/>
      <c r="BW74" s="744"/>
      <c r="BX74" s="744"/>
      <c r="BY74" s="744"/>
      <c r="BZ74" s="744"/>
      <c r="CA74" s="744"/>
      <c r="CB74" s="744"/>
      <c r="CC74" s="744"/>
      <c r="CD74" s="744"/>
      <c r="CE74" s="744"/>
      <c r="CF74" s="744"/>
      <c r="CG74" s="744"/>
      <c r="CH74" s="744"/>
      <c r="CI74" s="744"/>
      <c r="CJ74" s="744"/>
      <c r="CK74" s="744"/>
      <c r="CL74" s="744"/>
      <c r="CM74" s="744"/>
      <c r="CN74" s="744"/>
      <c r="CO74" s="744"/>
      <c r="CP74" s="744"/>
      <c r="CQ74" s="744"/>
      <c r="CR74" s="744"/>
      <c r="CS74" s="744"/>
      <c r="CT74" s="744"/>
      <c r="CU74" s="744"/>
      <c r="CV74" s="744"/>
      <c r="CW74" s="744"/>
      <c r="CX74" s="744"/>
      <c r="CY74" s="744"/>
      <c r="CZ74" s="744"/>
      <c r="DA74" s="744"/>
      <c r="DB74" s="744"/>
      <c r="DC74" s="744"/>
      <c r="DD74" s="744"/>
      <c r="DE74" s="744"/>
      <c r="DF74" s="744"/>
      <c r="DG74" s="744"/>
      <c r="DH74" s="744"/>
      <c r="DI74" s="744"/>
      <c r="DJ74" s="744"/>
      <c r="DK74" s="744"/>
      <c r="DL74" s="744"/>
      <c r="DM74" s="744"/>
      <c r="DN74" s="744"/>
      <c r="DO74" s="744"/>
      <c r="DP74" s="744"/>
      <c r="DQ74" s="744"/>
      <c r="DR74" s="744"/>
      <c r="DS74" s="744"/>
      <c r="DT74" s="744"/>
      <c r="DU74" s="744"/>
      <c r="DV74" s="744"/>
      <c r="DW74" s="744"/>
      <c r="DX74" s="744"/>
      <c r="DY74" s="744"/>
      <c r="DZ74" s="744"/>
      <c r="EA74" s="744"/>
      <c r="EB74" s="744"/>
      <c r="EC74" s="744"/>
      <c r="ED74" s="744"/>
      <c r="EE74" s="744"/>
      <c r="EF74" s="744"/>
      <c r="EG74" s="744"/>
      <c r="EH74" s="744"/>
      <c r="EI74" s="744"/>
      <c r="EJ74" s="744"/>
      <c r="EK74" s="744"/>
      <c r="EL74" s="744"/>
      <c r="EM74" s="744"/>
      <c r="EN74" s="744"/>
      <c r="EO74" s="744"/>
      <c r="EP74" s="744"/>
      <c r="EQ74" s="744"/>
      <c r="ER74" s="744"/>
      <c r="ES74" s="744"/>
      <c r="ET74" s="744"/>
      <c r="EU74" s="744"/>
      <c r="EV74" s="744"/>
      <c r="EW74" s="744"/>
      <c r="EX74" s="744"/>
      <c r="EY74" s="744"/>
      <c r="EZ74" s="744"/>
      <c r="FA74" s="744"/>
      <c r="FB74" s="744"/>
      <c r="FC74" s="744"/>
      <c r="FD74" s="744"/>
      <c r="FE74" s="744"/>
      <c r="FF74" s="744"/>
      <c r="FG74" s="744"/>
      <c r="FH74" s="744"/>
      <c r="FI74" s="744"/>
      <c r="FJ74" s="744"/>
      <c r="FK74" s="744"/>
      <c r="FL74" s="744"/>
      <c r="FM74" s="744"/>
      <c r="FN74" s="744"/>
      <c r="FO74" s="744"/>
      <c r="FP74" s="744"/>
      <c r="FQ74" s="744"/>
      <c r="FR74" s="744"/>
      <c r="FS74" s="744"/>
      <c r="FT74" s="744"/>
      <c r="FU74" s="744"/>
      <c r="FV74" s="744"/>
      <c r="FW74" s="744"/>
      <c r="FX74" s="744"/>
      <c r="FY74" s="744"/>
      <c r="FZ74" s="744"/>
      <c r="GA74" s="744"/>
      <c r="GB74" s="744"/>
      <c r="GC74" s="744"/>
      <c r="GD74" s="744"/>
      <c r="GE74" s="744"/>
      <c r="GF74" s="744"/>
      <c r="GG74" s="744"/>
      <c r="GH74" s="744"/>
      <c r="GI74" s="744"/>
      <c r="GJ74" s="744"/>
      <c r="GK74" s="744"/>
      <c r="GL74" s="744"/>
      <c r="GM74" s="744"/>
      <c r="GN74" s="744"/>
      <c r="GO74" s="744"/>
      <c r="GP74" s="744"/>
      <c r="GQ74" s="744"/>
      <c r="GR74" s="744"/>
      <c r="GS74" s="744"/>
      <c r="GT74" s="744"/>
      <c r="GU74" s="744"/>
      <c r="GV74" s="744"/>
      <c r="GW74" s="744"/>
      <c r="GX74" s="744"/>
      <c r="GY74" s="744"/>
      <c r="GZ74" s="744"/>
      <c r="HA74" s="744"/>
      <c r="HB74" s="744"/>
      <c r="HC74" s="744"/>
      <c r="HD74" s="744"/>
      <c r="HE74" s="744"/>
      <c r="HF74" s="744"/>
      <c r="HG74" s="744"/>
      <c r="HH74" s="744"/>
      <c r="HI74" s="744"/>
      <c r="HJ74" s="744"/>
      <c r="HK74" s="744"/>
      <c r="HL74" s="744"/>
      <c r="HM74" s="744"/>
      <c r="HN74" s="744"/>
      <c r="HO74" s="744"/>
      <c r="HP74" s="744"/>
      <c r="HQ74" s="744"/>
      <c r="HR74" s="744"/>
      <c r="HS74" s="744"/>
      <c r="HT74" s="744"/>
      <c r="HU74" s="744"/>
      <c r="HV74" s="744"/>
      <c r="HW74" s="744"/>
      <c r="HX74" s="744"/>
      <c r="HY74" s="744"/>
      <c r="HZ74" s="744"/>
      <c r="IA74" s="744"/>
      <c r="IB74" s="744"/>
      <c r="IC74" s="744"/>
      <c r="ID74" s="744"/>
      <c r="IE74" s="744"/>
      <c r="IF74" s="744"/>
      <c r="IG74" s="744"/>
      <c r="IH74" s="744"/>
      <c r="II74" s="744"/>
      <c r="IJ74" s="744"/>
      <c r="IK74" s="744"/>
      <c r="IL74" s="744"/>
      <c r="IM74" s="744"/>
      <c r="IN74" s="744"/>
      <c r="IO74" s="744"/>
      <c r="IP74" s="744"/>
      <c r="IQ74" s="744"/>
      <c r="IR74" s="744"/>
      <c r="IS74" s="744"/>
    </row>
    <row r="75" s="73" customFormat="1" ht="15" spans="1:253">
      <c r="A75" s="709" t="s">
        <v>139</v>
      </c>
      <c r="B75" s="682" t="s">
        <v>140</v>
      </c>
      <c r="C75" s="732" t="s">
        <v>141</v>
      </c>
      <c r="D75" s="729" t="s">
        <v>56</v>
      </c>
      <c r="E75" s="733">
        <f>'PB VI - Memorial'!B132</f>
        <v>20.64</v>
      </c>
      <c r="F75" s="711">
        <v>393.85</v>
      </c>
      <c r="G75" s="711">
        <f>ROUND(E75*F75,2)</f>
        <v>8129.06</v>
      </c>
      <c r="H75" s="724"/>
      <c r="I75" s="724"/>
      <c r="J75" s="724"/>
      <c r="K75" s="724"/>
      <c r="L75" s="724"/>
      <c r="M75" s="724"/>
      <c r="N75" s="741"/>
      <c r="O75" s="741"/>
      <c r="P75" s="741"/>
      <c r="Q75" s="741"/>
      <c r="R75" s="741"/>
      <c r="S75" s="741"/>
      <c r="T75" s="741"/>
      <c r="U75" s="741"/>
      <c r="V75" s="741"/>
      <c r="W75" s="741"/>
      <c r="X75" s="741"/>
      <c r="Y75" s="741"/>
      <c r="Z75" s="741"/>
      <c r="AA75" s="741"/>
      <c r="AB75" s="741"/>
      <c r="AC75" s="741"/>
      <c r="AD75" s="741"/>
      <c r="AE75" s="741"/>
      <c r="AF75" s="741"/>
      <c r="AG75" s="741"/>
      <c r="AH75" s="741"/>
      <c r="AI75" s="741"/>
      <c r="AJ75" s="741"/>
      <c r="AK75" s="741"/>
      <c r="AL75" s="741"/>
      <c r="AM75" s="741"/>
      <c r="AN75" s="741"/>
      <c r="AO75" s="741"/>
      <c r="AP75" s="741"/>
      <c r="AQ75" s="741"/>
      <c r="AR75" s="741"/>
      <c r="AS75" s="741"/>
      <c r="AT75" s="741"/>
      <c r="AU75" s="741"/>
      <c r="AV75" s="741"/>
      <c r="AW75" s="741"/>
      <c r="AX75" s="741"/>
      <c r="AY75" s="741"/>
      <c r="AZ75" s="741"/>
      <c r="BA75" s="741"/>
      <c r="BB75" s="741"/>
      <c r="BC75" s="741"/>
      <c r="BD75" s="741"/>
      <c r="BE75" s="741"/>
      <c r="BF75" s="741"/>
      <c r="BG75" s="741"/>
      <c r="BH75" s="741"/>
      <c r="BI75" s="741"/>
      <c r="BJ75" s="741"/>
      <c r="BK75" s="741"/>
      <c r="BL75" s="741"/>
      <c r="BM75" s="741"/>
      <c r="BN75" s="741"/>
      <c r="BO75" s="741"/>
      <c r="BP75" s="741"/>
      <c r="BQ75" s="741"/>
      <c r="BR75" s="741"/>
      <c r="BS75" s="741"/>
      <c r="BT75" s="741"/>
      <c r="BU75" s="741"/>
      <c r="BV75" s="741"/>
      <c r="BW75" s="744"/>
      <c r="BX75" s="744"/>
      <c r="BY75" s="744"/>
      <c r="BZ75" s="744"/>
      <c r="CA75" s="744"/>
      <c r="CB75" s="744"/>
      <c r="CC75" s="744"/>
      <c r="CD75" s="744"/>
      <c r="CE75" s="744"/>
      <c r="CF75" s="744"/>
      <c r="CG75" s="744"/>
      <c r="CH75" s="744"/>
      <c r="CI75" s="744"/>
      <c r="CJ75" s="744"/>
      <c r="CK75" s="744"/>
      <c r="CL75" s="744"/>
      <c r="CM75" s="744"/>
      <c r="CN75" s="744"/>
      <c r="CO75" s="744"/>
      <c r="CP75" s="744"/>
      <c r="CQ75" s="744"/>
      <c r="CR75" s="744"/>
      <c r="CS75" s="744"/>
      <c r="CT75" s="744"/>
      <c r="CU75" s="744"/>
      <c r="CV75" s="744"/>
      <c r="CW75" s="744"/>
      <c r="CX75" s="744"/>
      <c r="CY75" s="744"/>
      <c r="CZ75" s="744"/>
      <c r="DA75" s="744"/>
      <c r="DB75" s="744"/>
      <c r="DC75" s="744"/>
      <c r="DD75" s="744"/>
      <c r="DE75" s="744"/>
      <c r="DF75" s="744"/>
      <c r="DG75" s="744"/>
      <c r="DH75" s="744"/>
      <c r="DI75" s="744"/>
      <c r="DJ75" s="744"/>
      <c r="DK75" s="744"/>
      <c r="DL75" s="744"/>
      <c r="DM75" s="744"/>
      <c r="DN75" s="744"/>
      <c r="DO75" s="744"/>
      <c r="DP75" s="744"/>
      <c r="DQ75" s="744"/>
      <c r="DR75" s="744"/>
      <c r="DS75" s="744"/>
      <c r="DT75" s="744"/>
      <c r="DU75" s="744"/>
      <c r="DV75" s="744"/>
      <c r="DW75" s="744"/>
      <c r="DX75" s="744"/>
      <c r="DY75" s="744"/>
      <c r="DZ75" s="744"/>
      <c r="EA75" s="744"/>
      <c r="EB75" s="744"/>
      <c r="EC75" s="744"/>
      <c r="ED75" s="744"/>
      <c r="EE75" s="744"/>
      <c r="EF75" s="744"/>
      <c r="EG75" s="744"/>
      <c r="EH75" s="744"/>
      <c r="EI75" s="744"/>
      <c r="EJ75" s="744"/>
      <c r="EK75" s="744"/>
      <c r="EL75" s="744"/>
      <c r="EM75" s="744"/>
      <c r="EN75" s="744"/>
      <c r="EO75" s="744"/>
      <c r="EP75" s="744"/>
      <c r="EQ75" s="744"/>
      <c r="ER75" s="744"/>
      <c r="ES75" s="744"/>
      <c r="ET75" s="744"/>
      <c r="EU75" s="744"/>
      <c r="EV75" s="744"/>
      <c r="EW75" s="744"/>
      <c r="EX75" s="744"/>
      <c r="EY75" s="744"/>
      <c r="EZ75" s="744"/>
      <c r="FA75" s="744"/>
      <c r="FB75" s="744"/>
      <c r="FC75" s="744"/>
      <c r="FD75" s="744"/>
      <c r="FE75" s="744"/>
      <c r="FF75" s="744"/>
      <c r="FG75" s="744"/>
      <c r="FH75" s="744"/>
      <c r="FI75" s="744"/>
      <c r="FJ75" s="744"/>
      <c r="FK75" s="744"/>
      <c r="FL75" s="744"/>
      <c r="FM75" s="744"/>
      <c r="FN75" s="744"/>
      <c r="FO75" s="744"/>
      <c r="FP75" s="744"/>
      <c r="FQ75" s="744"/>
      <c r="FR75" s="744"/>
      <c r="FS75" s="744"/>
      <c r="FT75" s="744"/>
      <c r="FU75" s="744"/>
      <c r="FV75" s="744"/>
      <c r="FW75" s="744"/>
      <c r="FX75" s="744"/>
      <c r="FY75" s="744"/>
      <c r="FZ75" s="744"/>
      <c r="GA75" s="744"/>
      <c r="GB75" s="744"/>
      <c r="GC75" s="744"/>
      <c r="GD75" s="744"/>
      <c r="GE75" s="744"/>
      <c r="GF75" s="744"/>
      <c r="GG75" s="744"/>
      <c r="GH75" s="744"/>
      <c r="GI75" s="744"/>
      <c r="GJ75" s="744"/>
      <c r="GK75" s="744"/>
      <c r="GL75" s="744"/>
      <c r="GM75" s="744"/>
      <c r="GN75" s="744"/>
      <c r="GO75" s="744"/>
      <c r="GP75" s="744"/>
      <c r="GQ75" s="744"/>
      <c r="GR75" s="744"/>
      <c r="GS75" s="744"/>
      <c r="GT75" s="744"/>
      <c r="GU75" s="744"/>
      <c r="GV75" s="744"/>
      <c r="GW75" s="744"/>
      <c r="GX75" s="744"/>
      <c r="GY75" s="744"/>
      <c r="GZ75" s="744"/>
      <c r="HA75" s="744"/>
      <c r="HB75" s="744"/>
      <c r="HC75" s="744"/>
      <c r="HD75" s="744"/>
      <c r="HE75" s="744"/>
      <c r="HF75" s="744"/>
      <c r="HG75" s="744"/>
      <c r="HH75" s="744"/>
      <c r="HI75" s="744"/>
      <c r="HJ75" s="744"/>
      <c r="HK75" s="744"/>
      <c r="HL75" s="744"/>
      <c r="HM75" s="744"/>
      <c r="HN75" s="744"/>
      <c r="HO75" s="744"/>
      <c r="HP75" s="744"/>
      <c r="HQ75" s="744"/>
      <c r="HR75" s="744"/>
      <c r="HS75" s="744"/>
      <c r="HT75" s="744"/>
      <c r="HU75" s="744"/>
      <c r="HV75" s="744"/>
      <c r="HW75" s="744"/>
      <c r="HX75" s="744"/>
      <c r="HY75" s="744"/>
      <c r="HZ75" s="744"/>
      <c r="IA75" s="744"/>
      <c r="IB75" s="744"/>
      <c r="IC75" s="744"/>
      <c r="ID75" s="744"/>
      <c r="IE75" s="744"/>
      <c r="IF75" s="744"/>
      <c r="IG75" s="744"/>
      <c r="IH75" s="744"/>
      <c r="II75" s="744"/>
      <c r="IJ75" s="744"/>
      <c r="IK75" s="744"/>
      <c r="IL75" s="744"/>
      <c r="IM75" s="744"/>
      <c r="IN75" s="744"/>
      <c r="IO75" s="744"/>
      <c r="IP75" s="744"/>
      <c r="IQ75" s="744"/>
      <c r="IR75" s="744"/>
      <c r="IS75" s="744"/>
    </row>
    <row r="76" s="73" customFormat="1" ht="15" spans="1:253">
      <c r="A76" s="709" t="s">
        <v>90</v>
      </c>
      <c r="B76" s="682" t="s">
        <v>142</v>
      </c>
      <c r="C76" s="732" t="s">
        <v>143</v>
      </c>
      <c r="D76" s="729" t="s">
        <v>56</v>
      </c>
      <c r="E76" s="733">
        <f>E75</f>
        <v>20.64</v>
      </c>
      <c r="F76" s="711">
        <v>143.94</v>
      </c>
      <c r="G76" s="711">
        <f t="shared" ref="G76:G83" si="5">ROUND(E76*F76,2)</f>
        <v>2970.92</v>
      </c>
      <c r="H76" s="724"/>
      <c r="I76" s="724"/>
      <c r="J76" s="724"/>
      <c r="K76" s="724"/>
      <c r="L76" s="724"/>
      <c r="M76" s="724"/>
      <c r="N76" s="741"/>
      <c r="O76" s="741"/>
      <c r="P76" s="741"/>
      <c r="Q76" s="741"/>
      <c r="R76" s="741"/>
      <c r="S76" s="741"/>
      <c r="T76" s="741"/>
      <c r="U76" s="741"/>
      <c r="V76" s="741"/>
      <c r="W76" s="741"/>
      <c r="X76" s="741"/>
      <c r="Y76" s="741"/>
      <c r="Z76" s="741"/>
      <c r="AA76" s="741"/>
      <c r="AB76" s="741"/>
      <c r="AC76" s="741"/>
      <c r="AD76" s="741"/>
      <c r="AE76" s="741"/>
      <c r="AF76" s="741"/>
      <c r="AG76" s="741"/>
      <c r="AH76" s="741"/>
      <c r="AI76" s="741"/>
      <c r="AJ76" s="741"/>
      <c r="AK76" s="741"/>
      <c r="AL76" s="741"/>
      <c r="AM76" s="741"/>
      <c r="AN76" s="741"/>
      <c r="AO76" s="741"/>
      <c r="AP76" s="741"/>
      <c r="AQ76" s="741"/>
      <c r="AR76" s="741"/>
      <c r="AS76" s="741"/>
      <c r="AT76" s="741"/>
      <c r="AU76" s="741"/>
      <c r="AV76" s="741"/>
      <c r="AW76" s="741"/>
      <c r="AX76" s="741"/>
      <c r="AY76" s="741"/>
      <c r="AZ76" s="741"/>
      <c r="BA76" s="741"/>
      <c r="BB76" s="741"/>
      <c r="BC76" s="741"/>
      <c r="BD76" s="741"/>
      <c r="BE76" s="741"/>
      <c r="BF76" s="741"/>
      <c r="BG76" s="741"/>
      <c r="BH76" s="741"/>
      <c r="BI76" s="741"/>
      <c r="BJ76" s="741"/>
      <c r="BK76" s="741"/>
      <c r="BL76" s="741"/>
      <c r="BM76" s="741"/>
      <c r="BN76" s="741"/>
      <c r="BO76" s="741"/>
      <c r="BP76" s="741"/>
      <c r="BQ76" s="741"/>
      <c r="BR76" s="741"/>
      <c r="BS76" s="741"/>
      <c r="BT76" s="741"/>
      <c r="BU76" s="741"/>
      <c r="BV76" s="741"/>
      <c r="BW76" s="744"/>
      <c r="BX76" s="744"/>
      <c r="BY76" s="744"/>
      <c r="BZ76" s="744"/>
      <c r="CA76" s="744"/>
      <c r="CB76" s="744"/>
      <c r="CC76" s="744"/>
      <c r="CD76" s="744"/>
      <c r="CE76" s="744"/>
      <c r="CF76" s="744"/>
      <c r="CG76" s="744"/>
      <c r="CH76" s="744"/>
      <c r="CI76" s="744"/>
      <c r="CJ76" s="744"/>
      <c r="CK76" s="744"/>
      <c r="CL76" s="744"/>
      <c r="CM76" s="744"/>
      <c r="CN76" s="744"/>
      <c r="CO76" s="744"/>
      <c r="CP76" s="744"/>
      <c r="CQ76" s="744"/>
      <c r="CR76" s="744"/>
      <c r="CS76" s="744"/>
      <c r="CT76" s="744"/>
      <c r="CU76" s="744"/>
      <c r="CV76" s="744"/>
      <c r="CW76" s="744"/>
      <c r="CX76" s="744"/>
      <c r="CY76" s="744"/>
      <c r="CZ76" s="744"/>
      <c r="DA76" s="744"/>
      <c r="DB76" s="744"/>
      <c r="DC76" s="744"/>
      <c r="DD76" s="744"/>
      <c r="DE76" s="744"/>
      <c r="DF76" s="744"/>
      <c r="DG76" s="744"/>
      <c r="DH76" s="744"/>
      <c r="DI76" s="744"/>
      <c r="DJ76" s="744"/>
      <c r="DK76" s="744"/>
      <c r="DL76" s="744"/>
      <c r="DM76" s="744"/>
      <c r="DN76" s="744"/>
      <c r="DO76" s="744"/>
      <c r="DP76" s="744"/>
      <c r="DQ76" s="744"/>
      <c r="DR76" s="744"/>
      <c r="DS76" s="744"/>
      <c r="DT76" s="744"/>
      <c r="DU76" s="744"/>
      <c r="DV76" s="744"/>
      <c r="DW76" s="744"/>
      <c r="DX76" s="744"/>
      <c r="DY76" s="744"/>
      <c r="DZ76" s="744"/>
      <c r="EA76" s="744"/>
      <c r="EB76" s="744"/>
      <c r="EC76" s="744"/>
      <c r="ED76" s="744"/>
      <c r="EE76" s="744"/>
      <c r="EF76" s="744"/>
      <c r="EG76" s="744"/>
      <c r="EH76" s="744"/>
      <c r="EI76" s="744"/>
      <c r="EJ76" s="744"/>
      <c r="EK76" s="744"/>
      <c r="EL76" s="744"/>
      <c r="EM76" s="744"/>
      <c r="EN76" s="744"/>
      <c r="EO76" s="744"/>
      <c r="EP76" s="744"/>
      <c r="EQ76" s="744"/>
      <c r="ER76" s="744"/>
      <c r="ES76" s="744"/>
      <c r="ET76" s="744"/>
      <c r="EU76" s="744"/>
      <c r="EV76" s="744"/>
      <c r="EW76" s="744"/>
      <c r="EX76" s="744"/>
      <c r="EY76" s="744"/>
      <c r="EZ76" s="744"/>
      <c r="FA76" s="744"/>
      <c r="FB76" s="744"/>
      <c r="FC76" s="744"/>
      <c r="FD76" s="744"/>
      <c r="FE76" s="744"/>
      <c r="FF76" s="744"/>
      <c r="FG76" s="744"/>
      <c r="FH76" s="744"/>
      <c r="FI76" s="744"/>
      <c r="FJ76" s="744"/>
      <c r="FK76" s="744"/>
      <c r="FL76" s="744"/>
      <c r="FM76" s="744"/>
      <c r="FN76" s="744"/>
      <c r="FO76" s="744"/>
      <c r="FP76" s="744"/>
      <c r="FQ76" s="744"/>
      <c r="FR76" s="744"/>
      <c r="FS76" s="744"/>
      <c r="FT76" s="744"/>
      <c r="FU76" s="744"/>
      <c r="FV76" s="744"/>
      <c r="FW76" s="744"/>
      <c r="FX76" s="744"/>
      <c r="FY76" s="744"/>
      <c r="FZ76" s="744"/>
      <c r="GA76" s="744"/>
      <c r="GB76" s="744"/>
      <c r="GC76" s="744"/>
      <c r="GD76" s="744"/>
      <c r="GE76" s="744"/>
      <c r="GF76" s="744"/>
      <c r="GG76" s="744"/>
      <c r="GH76" s="744"/>
      <c r="GI76" s="744"/>
      <c r="GJ76" s="744"/>
      <c r="GK76" s="744"/>
      <c r="GL76" s="744"/>
      <c r="GM76" s="744"/>
      <c r="GN76" s="744"/>
      <c r="GO76" s="744"/>
      <c r="GP76" s="744"/>
      <c r="GQ76" s="744"/>
      <c r="GR76" s="744"/>
      <c r="GS76" s="744"/>
      <c r="GT76" s="744"/>
      <c r="GU76" s="744"/>
      <c r="GV76" s="744"/>
      <c r="GW76" s="744"/>
      <c r="GX76" s="744"/>
      <c r="GY76" s="744"/>
      <c r="GZ76" s="744"/>
      <c r="HA76" s="744"/>
      <c r="HB76" s="744"/>
      <c r="HC76" s="744"/>
      <c r="HD76" s="744"/>
      <c r="HE76" s="744"/>
      <c r="HF76" s="744"/>
      <c r="HG76" s="744"/>
      <c r="HH76" s="744"/>
      <c r="HI76" s="744"/>
      <c r="HJ76" s="744"/>
      <c r="HK76" s="744"/>
      <c r="HL76" s="744"/>
      <c r="HM76" s="744"/>
      <c r="HN76" s="744"/>
      <c r="HO76" s="744"/>
      <c r="HP76" s="744"/>
      <c r="HQ76" s="744"/>
      <c r="HR76" s="744"/>
      <c r="HS76" s="744"/>
      <c r="HT76" s="744"/>
      <c r="HU76" s="744"/>
      <c r="HV76" s="744"/>
      <c r="HW76" s="744"/>
      <c r="HX76" s="744"/>
      <c r="HY76" s="744"/>
      <c r="HZ76" s="744"/>
      <c r="IA76" s="744"/>
      <c r="IB76" s="744"/>
      <c r="IC76" s="744"/>
      <c r="ID76" s="744"/>
      <c r="IE76" s="744"/>
      <c r="IF76" s="744"/>
      <c r="IG76" s="744"/>
      <c r="IH76" s="744"/>
      <c r="II76" s="744"/>
      <c r="IJ76" s="744"/>
      <c r="IK76" s="744"/>
      <c r="IL76" s="744"/>
      <c r="IM76" s="744"/>
      <c r="IN76" s="744"/>
      <c r="IO76" s="744"/>
      <c r="IP76" s="744"/>
      <c r="IQ76" s="744"/>
      <c r="IR76" s="744"/>
      <c r="IS76" s="744"/>
    </row>
    <row r="77" s="73" customFormat="1" ht="15" spans="1:253">
      <c r="A77" s="709" t="s">
        <v>144</v>
      </c>
      <c r="B77" s="682" t="s">
        <v>145</v>
      </c>
      <c r="C77" s="732" t="s">
        <v>146</v>
      </c>
      <c r="D77" s="729" t="s">
        <v>17</v>
      </c>
      <c r="E77" s="733">
        <f>'PB VI - Memorial'!C132</f>
        <v>116.45</v>
      </c>
      <c r="F77" s="711">
        <v>29.91</v>
      </c>
      <c r="G77" s="711">
        <f t="shared" si="5"/>
        <v>3483.02</v>
      </c>
      <c r="H77" s="724"/>
      <c r="I77" s="724"/>
      <c r="J77" s="724"/>
      <c r="K77" s="724"/>
      <c r="L77" s="724"/>
      <c r="M77" s="724"/>
      <c r="N77" s="741"/>
      <c r="O77" s="741"/>
      <c r="P77" s="741"/>
      <c r="Q77" s="741"/>
      <c r="R77" s="741"/>
      <c r="S77" s="741"/>
      <c r="T77" s="741"/>
      <c r="U77" s="741"/>
      <c r="V77" s="741"/>
      <c r="W77" s="741"/>
      <c r="X77" s="741"/>
      <c r="Y77" s="741"/>
      <c r="Z77" s="741"/>
      <c r="AA77" s="741"/>
      <c r="AB77" s="741"/>
      <c r="AC77" s="741"/>
      <c r="AD77" s="741"/>
      <c r="AE77" s="741"/>
      <c r="AF77" s="741"/>
      <c r="AG77" s="741"/>
      <c r="AH77" s="741"/>
      <c r="AI77" s="741"/>
      <c r="AJ77" s="741"/>
      <c r="AK77" s="741"/>
      <c r="AL77" s="741"/>
      <c r="AM77" s="741"/>
      <c r="AN77" s="741"/>
      <c r="AO77" s="741"/>
      <c r="AP77" s="741"/>
      <c r="AQ77" s="741"/>
      <c r="AR77" s="741"/>
      <c r="AS77" s="741"/>
      <c r="AT77" s="741"/>
      <c r="AU77" s="741"/>
      <c r="AV77" s="741"/>
      <c r="AW77" s="741"/>
      <c r="AX77" s="741"/>
      <c r="AY77" s="741"/>
      <c r="AZ77" s="741"/>
      <c r="BA77" s="741"/>
      <c r="BB77" s="741"/>
      <c r="BC77" s="741"/>
      <c r="BD77" s="741"/>
      <c r="BE77" s="741"/>
      <c r="BF77" s="741"/>
      <c r="BG77" s="741"/>
      <c r="BH77" s="741"/>
      <c r="BI77" s="741"/>
      <c r="BJ77" s="741"/>
      <c r="BK77" s="741"/>
      <c r="BL77" s="741"/>
      <c r="BM77" s="741"/>
      <c r="BN77" s="741"/>
      <c r="BO77" s="741"/>
      <c r="BP77" s="741"/>
      <c r="BQ77" s="741"/>
      <c r="BR77" s="741"/>
      <c r="BS77" s="741"/>
      <c r="BT77" s="741"/>
      <c r="BU77" s="741"/>
      <c r="BV77" s="741"/>
      <c r="BW77" s="744"/>
      <c r="BX77" s="744"/>
      <c r="BY77" s="744"/>
      <c r="BZ77" s="744"/>
      <c r="CA77" s="744"/>
      <c r="CB77" s="744"/>
      <c r="CC77" s="744"/>
      <c r="CD77" s="744"/>
      <c r="CE77" s="744"/>
      <c r="CF77" s="744"/>
      <c r="CG77" s="744"/>
      <c r="CH77" s="744"/>
      <c r="CI77" s="744"/>
      <c r="CJ77" s="744"/>
      <c r="CK77" s="744"/>
      <c r="CL77" s="744"/>
      <c r="CM77" s="744"/>
      <c r="CN77" s="744"/>
      <c r="CO77" s="744"/>
      <c r="CP77" s="744"/>
      <c r="CQ77" s="744"/>
      <c r="CR77" s="744"/>
      <c r="CS77" s="744"/>
      <c r="CT77" s="744"/>
      <c r="CU77" s="744"/>
      <c r="CV77" s="744"/>
      <c r="CW77" s="744"/>
      <c r="CX77" s="744"/>
      <c r="CY77" s="744"/>
      <c r="CZ77" s="744"/>
      <c r="DA77" s="744"/>
      <c r="DB77" s="744"/>
      <c r="DC77" s="744"/>
      <c r="DD77" s="744"/>
      <c r="DE77" s="744"/>
      <c r="DF77" s="744"/>
      <c r="DG77" s="744"/>
      <c r="DH77" s="744"/>
      <c r="DI77" s="744"/>
      <c r="DJ77" s="744"/>
      <c r="DK77" s="744"/>
      <c r="DL77" s="744"/>
      <c r="DM77" s="744"/>
      <c r="DN77" s="744"/>
      <c r="DO77" s="744"/>
      <c r="DP77" s="744"/>
      <c r="DQ77" s="744"/>
      <c r="DR77" s="744"/>
      <c r="DS77" s="744"/>
      <c r="DT77" s="744"/>
      <c r="DU77" s="744"/>
      <c r="DV77" s="744"/>
      <c r="DW77" s="744"/>
      <c r="DX77" s="744"/>
      <c r="DY77" s="744"/>
      <c r="DZ77" s="744"/>
      <c r="EA77" s="744"/>
      <c r="EB77" s="744"/>
      <c r="EC77" s="744"/>
      <c r="ED77" s="744"/>
      <c r="EE77" s="744"/>
      <c r="EF77" s="744"/>
      <c r="EG77" s="744"/>
      <c r="EH77" s="744"/>
      <c r="EI77" s="744"/>
      <c r="EJ77" s="744"/>
      <c r="EK77" s="744"/>
      <c r="EL77" s="744"/>
      <c r="EM77" s="744"/>
      <c r="EN77" s="744"/>
      <c r="EO77" s="744"/>
      <c r="EP77" s="744"/>
      <c r="EQ77" s="744"/>
      <c r="ER77" s="744"/>
      <c r="ES77" s="744"/>
      <c r="ET77" s="744"/>
      <c r="EU77" s="744"/>
      <c r="EV77" s="744"/>
      <c r="EW77" s="744"/>
      <c r="EX77" s="744"/>
      <c r="EY77" s="744"/>
      <c r="EZ77" s="744"/>
      <c r="FA77" s="744"/>
      <c r="FB77" s="744"/>
      <c r="FC77" s="744"/>
      <c r="FD77" s="744"/>
      <c r="FE77" s="744"/>
      <c r="FF77" s="744"/>
      <c r="FG77" s="744"/>
      <c r="FH77" s="744"/>
      <c r="FI77" s="744"/>
      <c r="FJ77" s="744"/>
      <c r="FK77" s="744"/>
      <c r="FL77" s="744"/>
      <c r="FM77" s="744"/>
      <c r="FN77" s="744"/>
      <c r="FO77" s="744"/>
      <c r="FP77" s="744"/>
      <c r="FQ77" s="744"/>
      <c r="FR77" s="744"/>
      <c r="FS77" s="744"/>
      <c r="FT77" s="744"/>
      <c r="FU77" s="744"/>
      <c r="FV77" s="744"/>
      <c r="FW77" s="744"/>
      <c r="FX77" s="744"/>
      <c r="FY77" s="744"/>
      <c r="FZ77" s="744"/>
      <c r="GA77" s="744"/>
      <c r="GB77" s="744"/>
      <c r="GC77" s="744"/>
      <c r="GD77" s="744"/>
      <c r="GE77" s="744"/>
      <c r="GF77" s="744"/>
      <c r="GG77" s="744"/>
      <c r="GH77" s="744"/>
      <c r="GI77" s="744"/>
      <c r="GJ77" s="744"/>
      <c r="GK77" s="744"/>
      <c r="GL77" s="744"/>
      <c r="GM77" s="744"/>
      <c r="GN77" s="744"/>
      <c r="GO77" s="744"/>
      <c r="GP77" s="744"/>
      <c r="GQ77" s="744"/>
      <c r="GR77" s="744"/>
      <c r="GS77" s="744"/>
      <c r="GT77" s="744"/>
      <c r="GU77" s="744"/>
      <c r="GV77" s="744"/>
      <c r="GW77" s="744"/>
      <c r="GX77" s="744"/>
      <c r="GY77" s="744"/>
      <c r="GZ77" s="744"/>
      <c r="HA77" s="744"/>
      <c r="HB77" s="744"/>
      <c r="HC77" s="744"/>
      <c r="HD77" s="744"/>
      <c r="HE77" s="744"/>
      <c r="HF77" s="744"/>
      <c r="HG77" s="744"/>
      <c r="HH77" s="744"/>
      <c r="HI77" s="744"/>
      <c r="HJ77" s="744"/>
      <c r="HK77" s="744"/>
      <c r="HL77" s="744"/>
      <c r="HM77" s="744"/>
      <c r="HN77" s="744"/>
      <c r="HO77" s="744"/>
      <c r="HP77" s="744"/>
      <c r="HQ77" s="744"/>
      <c r="HR77" s="744"/>
      <c r="HS77" s="744"/>
      <c r="HT77" s="744"/>
      <c r="HU77" s="744"/>
      <c r="HV77" s="744"/>
      <c r="HW77" s="744"/>
      <c r="HX77" s="744"/>
      <c r="HY77" s="744"/>
      <c r="HZ77" s="744"/>
      <c r="IA77" s="744"/>
      <c r="IB77" s="744"/>
      <c r="IC77" s="744"/>
      <c r="ID77" s="744"/>
      <c r="IE77" s="744"/>
      <c r="IF77" s="744"/>
      <c r="IG77" s="744"/>
      <c r="IH77" s="744"/>
      <c r="II77" s="744"/>
      <c r="IJ77" s="744"/>
      <c r="IK77" s="744"/>
      <c r="IL77" s="744"/>
      <c r="IM77" s="744"/>
      <c r="IN77" s="744"/>
      <c r="IO77" s="744"/>
      <c r="IP77" s="744"/>
      <c r="IQ77" s="744"/>
      <c r="IR77" s="744"/>
      <c r="IS77" s="744"/>
    </row>
    <row r="78" s="73" customFormat="1" ht="15" spans="1:13">
      <c r="A78" s="709">
        <v>92916</v>
      </c>
      <c r="B78" s="682" t="s">
        <v>147</v>
      </c>
      <c r="C78" s="732" t="s">
        <v>148</v>
      </c>
      <c r="D78" s="729" t="s">
        <v>95</v>
      </c>
      <c r="E78" s="733">
        <f>'PB VI - Memorial'!B134</f>
        <v>119.27</v>
      </c>
      <c r="F78" s="711">
        <v>11.11</v>
      </c>
      <c r="G78" s="711">
        <f t="shared" si="5"/>
        <v>1325.09</v>
      </c>
      <c r="H78" s="724"/>
      <c r="I78" s="724"/>
      <c r="J78" s="169"/>
      <c r="K78" s="169"/>
      <c r="L78" s="169"/>
      <c r="M78" s="169"/>
    </row>
    <row r="79" s="73" customFormat="1" ht="15" spans="1:253">
      <c r="A79" s="709" t="s">
        <v>149</v>
      </c>
      <c r="B79" s="682" t="s">
        <v>150</v>
      </c>
      <c r="C79" s="732" t="s">
        <v>151</v>
      </c>
      <c r="D79" s="729" t="s">
        <v>95</v>
      </c>
      <c r="E79" s="733">
        <f>'PB VI - Memorial'!C134</f>
        <v>191.64</v>
      </c>
      <c r="F79" s="711">
        <v>10.54</v>
      </c>
      <c r="G79" s="711">
        <f t="shared" si="5"/>
        <v>2019.89</v>
      </c>
      <c r="H79" s="724"/>
      <c r="I79" s="724"/>
      <c r="J79" s="724"/>
      <c r="K79" s="724"/>
      <c r="L79" s="724"/>
      <c r="M79" s="724"/>
      <c r="N79" s="741"/>
      <c r="O79" s="741"/>
      <c r="P79" s="741"/>
      <c r="Q79" s="741"/>
      <c r="R79" s="741"/>
      <c r="S79" s="741"/>
      <c r="T79" s="741"/>
      <c r="U79" s="741"/>
      <c r="V79" s="741"/>
      <c r="W79" s="741"/>
      <c r="X79" s="741"/>
      <c r="Y79" s="741"/>
      <c r="Z79" s="741"/>
      <c r="AA79" s="741"/>
      <c r="AB79" s="741"/>
      <c r="AC79" s="741"/>
      <c r="AD79" s="741"/>
      <c r="AE79" s="741"/>
      <c r="AF79" s="741"/>
      <c r="AG79" s="741"/>
      <c r="AH79" s="741"/>
      <c r="AI79" s="741"/>
      <c r="AJ79" s="741"/>
      <c r="AK79" s="741"/>
      <c r="AL79" s="741"/>
      <c r="AM79" s="741"/>
      <c r="AN79" s="741"/>
      <c r="AO79" s="741"/>
      <c r="AP79" s="741"/>
      <c r="AQ79" s="741"/>
      <c r="AR79" s="741"/>
      <c r="AS79" s="741"/>
      <c r="AT79" s="741"/>
      <c r="AU79" s="741"/>
      <c r="AV79" s="741"/>
      <c r="AW79" s="741"/>
      <c r="AX79" s="741"/>
      <c r="AY79" s="741"/>
      <c r="AZ79" s="741"/>
      <c r="BA79" s="741"/>
      <c r="BB79" s="741"/>
      <c r="BC79" s="741"/>
      <c r="BD79" s="741"/>
      <c r="BE79" s="741"/>
      <c r="BF79" s="741"/>
      <c r="BG79" s="741"/>
      <c r="BH79" s="741"/>
      <c r="BI79" s="741"/>
      <c r="BJ79" s="741"/>
      <c r="BK79" s="741"/>
      <c r="BL79" s="741"/>
      <c r="BM79" s="741"/>
      <c r="BN79" s="741"/>
      <c r="BO79" s="741"/>
      <c r="BP79" s="741"/>
      <c r="BQ79" s="741"/>
      <c r="BR79" s="741"/>
      <c r="BS79" s="741"/>
      <c r="BT79" s="741"/>
      <c r="BU79" s="741"/>
      <c r="BV79" s="741"/>
      <c r="BW79" s="744"/>
      <c r="BX79" s="744"/>
      <c r="BY79" s="744"/>
      <c r="BZ79" s="744"/>
      <c r="CA79" s="744"/>
      <c r="CB79" s="744"/>
      <c r="CC79" s="744"/>
      <c r="CD79" s="744"/>
      <c r="CE79" s="744"/>
      <c r="CF79" s="744"/>
      <c r="CG79" s="744"/>
      <c r="CH79" s="744"/>
      <c r="CI79" s="744"/>
      <c r="CJ79" s="744"/>
      <c r="CK79" s="744"/>
      <c r="CL79" s="744"/>
      <c r="CM79" s="744"/>
      <c r="CN79" s="744"/>
      <c r="CO79" s="744"/>
      <c r="CP79" s="744"/>
      <c r="CQ79" s="744"/>
      <c r="CR79" s="744"/>
      <c r="CS79" s="744"/>
      <c r="CT79" s="744"/>
      <c r="CU79" s="744"/>
      <c r="CV79" s="744"/>
      <c r="CW79" s="744"/>
      <c r="CX79" s="744"/>
      <c r="CY79" s="744"/>
      <c r="CZ79" s="744"/>
      <c r="DA79" s="744"/>
      <c r="DB79" s="744"/>
      <c r="DC79" s="744"/>
      <c r="DD79" s="744"/>
      <c r="DE79" s="744"/>
      <c r="DF79" s="744"/>
      <c r="DG79" s="744"/>
      <c r="DH79" s="744"/>
      <c r="DI79" s="744"/>
      <c r="DJ79" s="744"/>
      <c r="DK79" s="744"/>
      <c r="DL79" s="744"/>
      <c r="DM79" s="744"/>
      <c r="DN79" s="744"/>
      <c r="DO79" s="744"/>
      <c r="DP79" s="744"/>
      <c r="DQ79" s="744"/>
      <c r="DR79" s="744"/>
      <c r="DS79" s="744"/>
      <c r="DT79" s="744"/>
      <c r="DU79" s="744"/>
      <c r="DV79" s="744"/>
      <c r="DW79" s="744"/>
      <c r="DX79" s="744"/>
      <c r="DY79" s="744"/>
      <c r="DZ79" s="744"/>
      <c r="EA79" s="744"/>
      <c r="EB79" s="744"/>
      <c r="EC79" s="744"/>
      <c r="ED79" s="744"/>
      <c r="EE79" s="744"/>
      <c r="EF79" s="744"/>
      <c r="EG79" s="744"/>
      <c r="EH79" s="744"/>
      <c r="EI79" s="744"/>
      <c r="EJ79" s="744"/>
      <c r="EK79" s="744"/>
      <c r="EL79" s="744"/>
      <c r="EM79" s="744"/>
      <c r="EN79" s="744"/>
      <c r="EO79" s="744"/>
      <c r="EP79" s="744"/>
      <c r="EQ79" s="744"/>
      <c r="ER79" s="744"/>
      <c r="ES79" s="744"/>
      <c r="ET79" s="744"/>
      <c r="EU79" s="744"/>
      <c r="EV79" s="744"/>
      <c r="EW79" s="744"/>
      <c r="EX79" s="744"/>
      <c r="EY79" s="744"/>
      <c r="EZ79" s="744"/>
      <c r="FA79" s="744"/>
      <c r="FB79" s="744"/>
      <c r="FC79" s="744"/>
      <c r="FD79" s="744"/>
      <c r="FE79" s="744"/>
      <c r="FF79" s="744"/>
      <c r="FG79" s="744"/>
      <c r="FH79" s="744"/>
      <c r="FI79" s="744"/>
      <c r="FJ79" s="744"/>
      <c r="FK79" s="744"/>
      <c r="FL79" s="744"/>
      <c r="FM79" s="744"/>
      <c r="FN79" s="744"/>
      <c r="FO79" s="744"/>
      <c r="FP79" s="744"/>
      <c r="FQ79" s="744"/>
      <c r="FR79" s="744"/>
      <c r="FS79" s="744"/>
      <c r="FT79" s="744"/>
      <c r="FU79" s="744"/>
      <c r="FV79" s="744"/>
      <c r="FW79" s="744"/>
      <c r="FX79" s="744"/>
      <c r="FY79" s="744"/>
      <c r="FZ79" s="744"/>
      <c r="GA79" s="744"/>
      <c r="GB79" s="744"/>
      <c r="GC79" s="744"/>
      <c r="GD79" s="744"/>
      <c r="GE79" s="744"/>
      <c r="GF79" s="744"/>
      <c r="GG79" s="744"/>
      <c r="GH79" s="744"/>
      <c r="GI79" s="744"/>
      <c r="GJ79" s="744"/>
      <c r="GK79" s="744"/>
      <c r="GL79" s="744"/>
      <c r="GM79" s="744"/>
      <c r="GN79" s="744"/>
      <c r="GO79" s="744"/>
      <c r="GP79" s="744"/>
      <c r="GQ79" s="744"/>
      <c r="GR79" s="744"/>
      <c r="GS79" s="744"/>
      <c r="GT79" s="744"/>
      <c r="GU79" s="744"/>
      <c r="GV79" s="744"/>
      <c r="GW79" s="744"/>
      <c r="GX79" s="744"/>
      <c r="GY79" s="744"/>
      <c r="GZ79" s="744"/>
      <c r="HA79" s="744"/>
      <c r="HB79" s="744"/>
      <c r="HC79" s="744"/>
      <c r="HD79" s="744"/>
      <c r="HE79" s="744"/>
      <c r="HF79" s="744"/>
      <c r="HG79" s="744"/>
      <c r="HH79" s="744"/>
      <c r="HI79" s="744"/>
      <c r="HJ79" s="744"/>
      <c r="HK79" s="744"/>
      <c r="HL79" s="744"/>
      <c r="HM79" s="744"/>
      <c r="HN79" s="744"/>
      <c r="HO79" s="744"/>
      <c r="HP79" s="744"/>
      <c r="HQ79" s="744"/>
      <c r="HR79" s="744"/>
      <c r="HS79" s="744"/>
      <c r="HT79" s="744"/>
      <c r="HU79" s="744"/>
      <c r="HV79" s="744"/>
      <c r="HW79" s="744"/>
      <c r="HX79" s="744"/>
      <c r="HY79" s="744"/>
      <c r="HZ79" s="744"/>
      <c r="IA79" s="744"/>
      <c r="IB79" s="744"/>
      <c r="IC79" s="744"/>
      <c r="ID79" s="744"/>
      <c r="IE79" s="744"/>
      <c r="IF79" s="744"/>
      <c r="IG79" s="744"/>
      <c r="IH79" s="744"/>
      <c r="II79" s="744"/>
      <c r="IJ79" s="744"/>
      <c r="IK79" s="744"/>
      <c r="IL79" s="744"/>
      <c r="IM79" s="744"/>
      <c r="IN79" s="744"/>
      <c r="IO79" s="744"/>
      <c r="IP79" s="744"/>
      <c r="IQ79" s="744"/>
      <c r="IR79" s="744"/>
      <c r="IS79" s="744"/>
    </row>
    <row r="80" s="73" customFormat="1" ht="15" spans="1:253">
      <c r="A80" s="709" t="s">
        <v>152</v>
      </c>
      <c r="B80" s="682" t="s">
        <v>153</v>
      </c>
      <c r="C80" s="732" t="s">
        <v>154</v>
      </c>
      <c r="D80" s="729" t="s">
        <v>95</v>
      </c>
      <c r="E80" s="733">
        <f>'PB VI - Memorial'!D134</f>
        <v>527.73</v>
      </c>
      <c r="F80" s="711">
        <v>8.52</v>
      </c>
      <c r="G80" s="711">
        <f t="shared" si="5"/>
        <v>4496.26</v>
      </c>
      <c r="H80" s="724"/>
      <c r="I80" s="724"/>
      <c r="J80" s="724"/>
      <c r="K80" s="724"/>
      <c r="L80" s="724"/>
      <c r="M80" s="724"/>
      <c r="N80" s="741"/>
      <c r="O80" s="741"/>
      <c r="P80" s="741"/>
      <c r="Q80" s="741"/>
      <c r="R80" s="741"/>
      <c r="S80" s="741"/>
      <c r="T80" s="741"/>
      <c r="U80" s="741"/>
      <c r="V80" s="741"/>
      <c r="W80" s="741"/>
      <c r="X80" s="741"/>
      <c r="Y80" s="741"/>
      <c r="Z80" s="741"/>
      <c r="AA80" s="741"/>
      <c r="AB80" s="741"/>
      <c r="AC80" s="741"/>
      <c r="AD80" s="741"/>
      <c r="AE80" s="741"/>
      <c r="AF80" s="741"/>
      <c r="AG80" s="741"/>
      <c r="AH80" s="741"/>
      <c r="AI80" s="741"/>
      <c r="AJ80" s="741"/>
      <c r="AK80" s="741"/>
      <c r="AL80" s="741"/>
      <c r="AM80" s="741"/>
      <c r="AN80" s="741"/>
      <c r="AO80" s="741"/>
      <c r="AP80" s="741"/>
      <c r="AQ80" s="741"/>
      <c r="AR80" s="741"/>
      <c r="AS80" s="741"/>
      <c r="AT80" s="741"/>
      <c r="AU80" s="741"/>
      <c r="AV80" s="741"/>
      <c r="AW80" s="741"/>
      <c r="AX80" s="741"/>
      <c r="AY80" s="741"/>
      <c r="AZ80" s="741"/>
      <c r="BA80" s="741"/>
      <c r="BB80" s="741"/>
      <c r="BC80" s="741"/>
      <c r="BD80" s="741"/>
      <c r="BE80" s="741"/>
      <c r="BF80" s="741"/>
      <c r="BG80" s="741"/>
      <c r="BH80" s="741"/>
      <c r="BI80" s="741"/>
      <c r="BJ80" s="741"/>
      <c r="BK80" s="741"/>
      <c r="BL80" s="741"/>
      <c r="BM80" s="741"/>
      <c r="BN80" s="741"/>
      <c r="BO80" s="741"/>
      <c r="BP80" s="741"/>
      <c r="BQ80" s="741"/>
      <c r="BR80" s="741"/>
      <c r="BS80" s="741"/>
      <c r="BT80" s="741"/>
      <c r="BU80" s="741"/>
      <c r="BV80" s="741"/>
      <c r="BW80" s="744"/>
      <c r="BX80" s="744"/>
      <c r="BY80" s="744"/>
      <c r="BZ80" s="744"/>
      <c r="CA80" s="744"/>
      <c r="CB80" s="744"/>
      <c r="CC80" s="744"/>
      <c r="CD80" s="744"/>
      <c r="CE80" s="744"/>
      <c r="CF80" s="744"/>
      <c r="CG80" s="744"/>
      <c r="CH80" s="744"/>
      <c r="CI80" s="744"/>
      <c r="CJ80" s="744"/>
      <c r="CK80" s="744"/>
      <c r="CL80" s="744"/>
      <c r="CM80" s="744"/>
      <c r="CN80" s="744"/>
      <c r="CO80" s="744"/>
      <c r="CP80" s="744"/>
      <c r="CQ80" s="744"/>
      <c r="CR80" s="744"/>
      <c r="CS80" s="744"/>
      <c r="CT80" s="744"/>
      <c r="CU80" s="744"/>
      <c r="CV80" s="744"/>
      <c r="CW80" s="744"/>
      <c r="CX80" s="744"/>
      <c r="CY80" s="744"/>
      <c r="CZ80" s="744"/>
      <c r="DA80" s="744"/>
      <c r="DB80" s="744"/>
      <c r="DC80" s="744"/>
      <c r="DD80" s="744"/>
      <c r="DE80" s="744"/>
      <c r="DF80" s="744"/>
      <c r="DG80" s="744"/>
      <c r="DH80" s="744"/>
      <c r="DI80" s="744"/>
      <c r="DJ80" s="744"/>
      <c r="DK80" s="744"/>
      <c r="DL80" s="744"/>
      <c r="DM80" s="744"/>
      <c r="DN80" s="744"/>
      <c r="DO80" s="744"/>
      <c r="DP80" s="744"/>
      <c r="DQ80" s="744"/>
      <c r="DR80" s="744"/>
      <c r="DS80" s="744"/>
      <c r="DT80" s="744"/>
      <c r="DU80" s="744"/>
      <c r="DV80" s="744"/>
      <c r="DW80" s="744"/>
      <c r="DX80" s="744"/>
      <c r="DY80" s="744"/>
      <c r="DZ80" s="744"/>
      <c r="EA80" s="744"/>
      <c r="EB80" s="744"/>
      <c r="EC80" s="744"/>
      <c r="ED80" s="744"/>
      <c r="EE80" s="744"/>
      <c r="EF80" s="744"/>
      <c r="EG80" s="744"/>
      <c r="EH80" s="744"/>
      <c r="EI80" s="744"/>
      <c r="EJ80" s="744"/>
      <c r="EK80" s="744"/>
      <c r="EL80" s="744"/>
      <c r="EM80" s="744"/>
      <c r="EN80" s="744"/>
      <c r="EO80" s="744"/>
      <c r="EP80" s="744"/>
      <c r="EQ80" s="744"/>
      <c r="ER80" s="744"/>
      <c r="ES80" s="744"/>
      <c r="ET80" s="744"/>
      <c r="EU80" s="744"/>
      <c r="EV80" s="744"/>
      <c r="EW80" s="744"/>
      <c r="EX80" s="744"/>
      <c r="EY80" s="744"/>
      <c r="EZ80" s="744"/>
      <c r="FA80" s="744"/>
      <c r="FB80" s="744"/>
      <c r="FC80" s="744"/>
      <c r="FD80" s="744"/>
      <c r="FE80" s="744"/>
      <c r="FF80" s="744"/>
      <c r="FG80" s="744"/>
      <c r="FH80" s="744"/>
      <c r="FI80" s="744"/>
      <c r="FJ80" s="744"/>
      <c r="FK80" s="744"/>
      <c r="FL80" s="744"/>
      <c r="FM80" s="744"/>
      <c r="FN80" s="744"/>
      <c r="FO80" s="744"/>
      <c r="FP80" s="744"/>
      <c r="FQ80" s="744"/>
      <c r="FR80" s="744"/>
      <c r="FS80" s="744"/>
      <c r="FT80" s="744"/>
      <c r="FU80" s="744"/>
      <c r="FV80" s="744"/>
      <c r="FW80" s="744"/>
      <c r="FX80" s="744"/>
      <c r="FY80" s="744"/>
      <c r="FZ80" s="744"/>
      <c r="GA80" s="744"/>
      <c r="GB80" s="744"/>
      <c r="GC80" s="744"/>
      <c r="GD80" s="744"/>
      <c r="GE80" s="744"/>
      <c r="GF80" s="744"/>
      <c r="GG80" s="744"/>
      <c r="GH80" s="744"/>
      <c r="GI80" s="744"/>
      <c r="GJ80" s="744"/>
      <c r="GK80" s="744"/>
      <c r="GL80" s="744"/>
      <c r="GM80" s="744"/>
      <c r="GN80" s="744"/>
      <c r="GO80" s="744"/>
      <c r="GP80" s="744"/>
      <c r="GQ80" s="744"/>
      <c r="GR80" s="744"/>
      <c r="GS80" s="744"/>
      <c r="GT80" s="744"/>
      <c r="GU80" s="744"/>
      <c r="GV80" s="744"/>
      <c r="GW80" s="744"/>
      <c r="GX80" s="744"/>
      <c r="GY80" s="744"/>
      <c r="GZ80" s="744"/>
      <c r="HA80" s="744"/>
      <c r="HB80" s="744"/>
      <c r="HC80" s="744"/>
      <c r="HD80" s="744"/>
      <c r="HE80" s="744"/>
      <c r="HF80" s="744"/>
      <c r="HG80" s="744"/>
      <c r="HH80" s="744"/>
      <c r="HI80" s="744"/>
      <c r="HJ80" s="744"/>
      <c r="HK80" s="744"/>
      <c r="HL80" s="744"/>
      <c r="HM80" s="744"/>
      <c r="HN80" s="744"/>
      <c r="HO80" s="744"/>
      <c r="HP80" s="744"/>
      <c r="HQ80" s="744"/>
      <c r="HR80" s="744"/>
      <c r="HS80" s="744"/>
      <c r="HT80" s="744"/>
      <c r="HU80" s="744"/>
      <c r="HV80" s="744"/>
      <c r="HW80" s="744"/>
      <c r="HX80" s="744"/>
      <c r="HY80" s="744"/>
      <c r="HZ80" s="744"/>
      <c r="IA80" s="744"/>
      <c r="IB80" s="744"/>
      <c r="IC80" s="744"/>
      <c r="ID80" s="744"/>
      <c r="IE80" s="744"/>
      <c r="IF80" s="744"/>
      <c r="IG80" s="744"/>
      <c r="IH80" s="744"/>
      <c r="II80" s="744"/>
      <c r="IJ80" s="744"/>
      <c r="IK80" s="744"/>
      <c r="IL80" s="744"/>
      <c r="IM80" s="744"/>
      <c r="IN80" s="744"/>
      <c r="IO80" s="744"/>
      <c r="IP80" s="744"/>
      <c r="IQ80" s="744"/>
      <c r="IR80" s="744"/>
      <c r="IS80" s="744"/>
    </row>
    <row r="81" s="73" customFormat="1" ht="15" spans="1:253">
      <c r="A81" s="709" t="s">
        <v>155</v>
      </c>
      <c r="B81" s="682" t="s">
        <v>156</v>
      </c>
      <c r="C81" s="732" t="s">
        <v>157</v>
      </c>
      <c r="D81" s="729" t="s">
        <v>95</v>
      </c>
      <c r="E81" s="733">
        <f>'PB VI - Memorial'!E134</f>
        <v>49.27</v>
      </c>
      <c r="F81" s="711">
        <v>7.02</v>
      </c>
      <c r="G81" s="711">
        <f t="shared" si="5"/>
        <v>345.88</v>
      </c>
      <c r="H81" s="724"/>
      <c r="I81" s="724"/>
      <c r="J81" s="724"/>
      <c r="K81" s="724"/>
      <c r="L81" s="724"/>
      <c r="M81" s="724"/>
      <c r="N81" s="741"/>
      <c r="O81" s="741"/>
      <c r="P81" s="741"/>
      <c r="Q81" s="741"/>
      <c r="R81" s="741"/>
      <c r="S81" s="741"/>
      <c r="T81" s="741"/>
      <c r="U81" s="741"/>
      <c r="V81" s="741"/>
      <c r="W81" s="741"/>
      <c r="X81" s="741"/>
      <c r="Y81" s="741"/>
      <c r="Z81" s="741"/>
      <c r="AA81" s="741"/>
      <c r="AB81" s="741"/>
      <c r="AC81" s="741"/>
      <c r="AD81" s="741"/>
      <c r="AE81" s="741"/>
      <c r="AF81" s="741"/>
      <c r="AG81" s="741"/>
      <c r="AH81" s="741"/>
      <c r="AI81" s="741"/>
      <c r="AJ81" s="741"/>
      <c r="AK81" s="741"/>
      <c r="AL81" s="741"/>
      <c r="AM81" s="741"/>
      <c r="AN81" s="741"/>
      <c r="AO81" s="741"/>
      <c r="AP81" s="741"/>
      <c r="AQ81" s="741"/>
      <c r="AR81" s="741"/>
      <c r="AS81" s="741"/>
      <c r="AT81" s="741"/>
      <c r="AU81" s="741"/>
      <c r="AV81" s="741"/>
      <c r="AW81" s="741"/>
      <c r="AX81" s="741"/>
      <c r="AY81" s="741"/>
      <c r="AZ81" s="741"/>
      <c r="BA81" s="741"/>
      <c r="BB81" s="741"/>
      <c r="BC81" s="741"/>
      <c r="BD81" s="741"/>
      <c r="BE81" s="741"/>
      <c r="BF81" s="741"/>
      <c r="BG81" s="741"/>
      <c r="BH81" s="741"/>
      <c r="BI81" s="741"/>
      <c r="BJ81" s="741"/>
      <c r="BK81" s="741"/>
      <c r="BL81" s="741"/>
      <c r="BM81" s="741"/>
      <c r="BN81" s="741"/>
      <c r="BO81" s="741"/>
      <c r="BP81" s="741"/>
      <c r="BQ81" s="741"/>
      <c r="BR81" s="741"/>
      <c r="BS81" s="741"/>
      <c r="BT81" s="741"/>
      <c r="BU81" s="741"/>
      <c r="BV81" s="741"/>
      <c r="BW81" s="744"/>
      <c r="BX81" s="744"/>
      <c r="BY81" s="744"/>
      <c r="BZ81" s="744"/>
      <c r="CA81" s="744"/>
      <c r="CB81" s="744"/>
      <c r="CC81" s="744"/>
      <c r="CD81" s="744"/>
      <c r="CE81" s="744"/>
      <c r="CF81" s="744"/>
      <c r="CG81" s="744"/>
      <c r="CH81" s="744"/>
      <c r="CI81" s="744"/>
      <c r="CJ81" s="744"/>
      <c r="CK81" s="744"/>
      <c r="CL81" s="744"/>
      <c r="CM81" s="744"/>
      <c r="CN81" s="744"/>
      <c r="CO81" s="744"/>
      <c r="CP81" s="744"/>
      <c r="CQ81" s="744"/>
      <c r="CR81" s="744"/>
      <c r="CS81" s="744"/>
      <c r="CT81" s="744"/>
      <c r="CU81" s="744"/>
      <c r="CV81" s="744"/>
      <c r="CW81" s="744"/>
      <c r="CX81" s="744"/>
      <c r="CY81" s="744"/>
      <c r="CZ81" s="744"/>
      <c r="DA81" s="744"/>
      <c r="DB81" s="744"/>
      <c r="DC81" s="744"/>
      <c r="DD81" s="744"/>
      <c r="DE81" s="744"/>
      <c r="DF81" s="744"/>
      <c r="DG81" s="744"/>
      <c r="DH81" s="744"/>
      <c r="DI81" s="744"/>
      <c r="DJ81" s="744"/>
      <c r="DK81" s="744"/>
      <c r="DL81" s="744"/>
      <c r="DM81" s="744"/>
      <c r="DN81" s="744"/>
      <c r="DO81" s="744"/>
      <c r="DP81" s="744"/>
      <c r="DQ81" s="744"/>
      <c r="DR81" s="744"/>
      <c r="DS81" s="744"/>
      <c r="DT81" s="744"/>
      <c r="DU81" s="744"/>
      <c r="DV81" s="744"/>
      <c r="DW81" s="744"/>
      <c r="DX81" s="744"/>
      <c r="DY81" s="744"/>
      <c r="DZ81" s="744"/>
      <c r="EA81" s="744"/>
      <c r="EB81" s="744"/>
      <c r="EC81" s="744"/>
      <c r="ED81" s="744"/>
      <c r="EE81" s="744"/>
      <c r="EF81" s="744"/>
      <c r="EG81" s="744"/>
      <c r="EH81" s="744"/>
      <c r="EI81" s="744"/>
      <c r="EJ81" s="744"/>
      <c r="EK81" s="744"/>
      <c r="EL81" s="744"/>
      <c r="EM81" s="744"/>
      <c r="EN81" s="744"/>
      <c r="EO81" s="744"/>
      <c r="EP81" s="744"/>
      <c r="EQ81" s="744"/>
      <c r="ER81" s="744"/>
      <c r="ES81" s="744"/>
      <c r="ET81" s="744"/>
      <c r="EU81" s="744"/>
      <c r="EV81" s="744"/>
      <c r="EW81" s="744"/>
      <c r="EX81" s="744"/>
      <c r="EY81" s="744"/>
      <c r="EZ81" s="744"/>
      <c r="FA81" s="744"/>
      <c r="FB81" s="744"/>
      <c r="FC81" s="744"/>
      <c r="FD81" s="744"/>
      <c r="FE81" s="744"/>
      <c r="FF81" s="744"/>
      <c r="FG81" s="744"/>
      <c r="FH81" s="744"/>
      <c r="FI81" s="744"/>
      <c r="FJ81" s="744"/>
      <c r="FK81" s="744"/>
      <c r="FL81" s="744"/>
      <c r="FM81" s="744"/>
      <c r="FN81" s="744"/>
      <c r="FO81" s="744"/>
      <c r="FP81" s="744"/>
      <c r="FQ81" s="744"/>
      <c r="FR81" s="744"/>
      <c r="FS81" s="744"/>
      <c r="FT81" s="744"/>
      <c r="FU81" s="744"/>
      <c r="FV81" s="744"/>
      <c r="FW81" s="744"/>
      <c r="FX81" s="744"/>
      <c r="FY81" s="744"/>
      <c r="FZ81" s="744"/>
      <c r="GA81" s="744"/>
      <c r="GB81" s="744"/>
      <c r="GC81" s="744"/>
      <c r="GD81" s="744"/>
      <c r="GE81" s="744"/>
      <c r="GF81" s="744"/>
      <c r="GG81" s="744"/>
      <c r="GH81" s="744"/>
      <c r="GI81" s="744"/>
      <c r="GJ81" s="744"/>
      <c r="GK81" s="744"/>
      <c r="GL81" s="744"/>
      <c r="GM81" s="744"/>
      <c r="GN81" s="744"/>
      <c r="GO81" s="744"/>
      <c r="GP81" s="744"/>
      <c r="GQ81" s="744"/>
      <c r="GR81" s="744"/>
      <c r="GS81" s="744"/>
      <c r="GT81" s="744"/>
      <c r="GU81" s="744"/>
      <c r="GV81" s="744"/>
      <c r="GW81" s="744"/>
      <c r="GX81" s="744"/>
      <c r="GY81" s="744"/>
      <c r="GZ81" s="744"/>
      <c r="HA81" s="744"/>
      <c r="HB81" s="744"/>
      <c r="HC81" s="744"/>
      <c r="HD81" s="744"/>
      <c r="HE81" s="744"/>
      <c r="HF81" s="744"/>
      <c r="HG81" s="744"/>
      <c r="HH81" s="744"/>
      <c r="HI81" s="744"/>
      <c r="HJ81" s="744"/>
      <c r="HK81" s="744"/>
      <c r="HL81" s="744"/>
      <c r="HM81" s="744"/>
      <c r="HN81" s="744"/>
      <c r="HO81" s="744"/>
      <c r="HP81" s="744"/>
      <c r="HQ81" s="744"/>
      <c r="HR81" s="744"/>
      <c r="HS81" s="744"/>
      <c r="HT81" s="744"/>
      <c r="HU81" s="744"/>
      <c r="HV81" s="744"/>
      <c r="HW81" s="744"/>
      <c r="HX81" s="744"/>
      <c r="HY81" s="744"/>
      <c r="HZ81" s="744"/>
      <c r="IA81" s="744"/>
      <c r="IB81" s="744"/>
      <c r="IC81" s="744"/>
      <c r="ID81" s="744"/>
      <c r="IE81" s="744"/>
      <c r="IF81" s="744"/>
      <c r="IG81" s="744"/>
      <c r="IH81" s="744"/>
      <c r="II81" s="744"/>
      <c r="IJ81" s="744"/>
      <c r="IK81" s="744"/>
      <c r="IL81" s="744"/>
      <c r="IM81" s="744"/>
      <c r="IN81" s="744"/>
      <c r="IO81" s="744"/>
      <c r="IP81" s="744"/>
      <c r="IQ81" s="744"/>
      <c r="IR81" s="744"/>
      <c r="IS81" s="744"/>
    </row>
    <row r="82" s="73" customFormat="1" ht="15" spans="1:253">
      <c r="A82" s="709" t="s">
        <v>158</v>
      </c>
      <c r="B82" s="682" t="s">
        <v>159</v>
      </c>
      <c r="C82" s="732" t="s">
        <v>160</v>
      </c>
      <c r="D82" s="729" t="s">
        <v>95</v>
      </c>
      <c r="E82" s="733">
        <f>'PB VI - Memorial'!G134</f>
        <v>83.91</v>
      </c>
      <c r="F82" s="711">
        <v>12.23</v>
      </c>
      <c r="G82" s="711">
        <f t="shared" si="5"/>
        <v>1026.22</v>
      </c>
      <c r="H82" s="724"/>
      <c r="I82" s="724"/>
      <c r="J82" s="724"/>
      <c r="K82" s="724"/>
      <c r="L82" s="724"/>
      <c r="M82" s="724"/>
      <c r="N82" s="741"/>
      <c r="O82" s="741"/>
      <c r="P82" s="741"/>
      <c r="Q82" s="741"/>
      <c r="R82" s="741"/>
      <c r="S82" s="741"/>
      <c r="T82" s="741"/>
      <c r="U82" s="741"/>
      <c r="V82" s="741"/>
      <c r="W82" s="741"/>
      <c r="X82" s="741"/>
      <c r="Y82" s="741"/>
      <c r="Z82" s="741"/>
      <c r="AA82" s="741"/>
      <c r="AB82" s="741"/>
      <c r="AC82" s="741"/>
      <c r="AD82" s="741"/>
      <c r="AE82" s="741"/>
      <c r="AF82" s="741"/>
      <c r="AG82" s="741"/>
      <c r="AH82" s="741"/>
      <c r="AI82" s="741"/>
      <c r="AJ82" s="741"/>
      <c r="AK82" s="741"/>
      <c r="AL82" s="741"/>
      <c r="AM82" s="741"/>
      <c r="AN82" s="741"/>
      <c r="AO82" s="741"/>
      <c r="AP82" s="741"/>
      <c r="AQ82" s="741"/>
      <c r="AR82" s="741"/>
      <c r="AS82" s="741"/>
      <c r="AT82" s="741"/>
      <c r="AU82" s="741"/>
      <c r="AV82" s="741"/>
      <c r="AW82" s="741"/>
      <c r="AX82" s="741"/>
      <c r="AY82" s="741"/>
      <c r="AZ82" s="741"/>
      <c r="BA82" s="741"/>
      <c r="BB82" s="741"/>
      <c r="BC82" s="741"/>
      <c r="BD82" s="741"/>
      <c r="BE82" s="741"/>
      <c r="BF82" s="741"/>
      <c r="BG82" s="741"/>
      <c r="BH82" s="741"/>
      <c r="BI82" s="741"/>
      <c r="BJ82" s="741"/>
      <c r="BK82" s="741"/>
      <c r="BL82" s="741"/>
      <c r="BM82" s="741"/>
      <c r="BN82" s="741"/>
      <c r="BO82" s="741"/>
      <c r="BP82" s="741"/>
      <c r="BQ82" s="741"/>
      <c r="BR82" s="741"/>
      <c r="BS82" s="741"/>
      <c r="BT82" s="741"/>
      <c r="BU82" s="741"/>
      <c r="BV82" s="741"/>
      <c r="BW82" s="744"/>
      <c r="BX82" s="744"/>
      <c r="BY82" s="744"/>
      <c r="BZ82" s="744"/>
      <c r="CA82" s="744"/>
      <c r="CB82" s="744"/>
      <c r="CC82" s="744"/>
      <c r="CD82" s="744"/>
      <c r="CE82" s="744"/>
      <c r="CF82" s="744"/>
      <c r="CG82" s="744"/>
      <c r="CH82" s="744"/>
      <c r="CI82" s="744"/>
      <c r="CJ82" s="744"/>
      <c r="CK82" s="744"/>
      <c r="CL82" s="744"/>
      <c r="CM82" s="744"/>
      <c r="CN82" s="744"/>
      <c r="CO82" s="744"/>
      <c r="CP82" s="744"/>
      <c r="CQ82" s="744"/>
      <c r="CR82" s="744"/>
      <c r="CS82" s="744"/>
      <c r="CT82" s="744"/>
      <c r="CU82" s="744"/>
      <c r="CV82" s="744"/>
      <c r="CW82" s="744"/>
      <c r="CX82" s="744"/>
      <c r="CY82" s="744"/>
      <c r="CZ82" s="744"/>
      <c r="DA82" s="744"/>
      <c r="DB82" s="744"/>
      <c r="DC82" s="744"/>
      <c r="DD82" s="744"/>
      <c r="DE82" s="744"/>
      <c r="DF82" s="744"/>
      <c r="DG82" s="744"/>
      <c r="DH82" s="744"/>
      <c r="DI82" s="744"/>
      <c r="DJ82" s="744"/>
      <c r="DK82" s="744"/>
      <c r="DL82" s="744"/>
      <c r="DM82" s="744"/>
      <c r="DN82" s="744"/>
      <c r="DO82" s="744"/>
      <c r="DP82" s="744"/>
      <c r="DQ82" s="744"/>
      <c r="DR82" s="744"/>
      <c r="DS82" s="744"/>
      <c r="DT82" s="744"/>
      <c r="DU82" s="744"/>
      <c r="DV82" s="744"/>
      <c r="DW82" s="744"/>
      <c r="DX82" s="744"/>
      <c r="DY82" s="744"/>
      <c r="DZ82" s="744"/>
      <c r="EA82" s="744"/>
      <c r="EB82" s="744"/>
      <c r="EC82" s="744"/>
      <c r="ED82" s="744"/>
      <c r="EE82" s="744"/>
      <c r="EF82" s="744"/>
      <c r="EG82" s="744"/>
      <c r="EH82" s="744"/>
      <c r="EI82" s="744"/>
      <c r="EJ82" s="744"/>
      <c r="EK82" s="744"/>
      <c r="EL82" s="744"/>
      <c r="EM82" s="744"/>
      <c r="EN82" s="744"/>
      <c r="EO82" s="744"/>
      <c r="EP82" s="744"/>
      <c r="EQ82" s="744"/>
      <c r="ER82" s="744"/>
      <c r="ES82" s="744"/>
      <c r="ET82" s="744"/>
      <c r="EU82" s="744"/>
      <c r="EV82" s="744"/>
      <c r="EW82" s="744"/>
      <c r="EX82" s="744"/>
      <c r="EY82" s="744"/>
      <c r="EZ82" s="744"/>
      <c r="FA82" s="744"/>
      <c r="FB82" s="744"/>
      <c r="FC82" s="744"/>
      <c r="FD82" s="744"/>
      <c r="FE82" s="744"/>
      <c r="FF82" s="744"/>
      <c r="FG82" s="744"/>
      <c r="FH82" s="744"/>
      <c r="FI82" s="744"/>
      <c r="FJ82" s="744"/>
      <c r="FK82" s="744"/>
      <c r="FL82" s="744"/>
      <c r="FM82" s="744"/>
      <c r="FN82" s="744"/>
      <c r="FO82" s="744"/>
      <c r="FP82" s="744"/>
      <c r="FQ82" s="744"/>
      <c r="FR82" s="744"/>
      <c r="FS82" s="744"/>
      <c r="FT82" s="744"/>
      <c r="FU82" s="744"/>
      <c r="FV82" s="744"/>
      <c r="FW82" s="744"/>
      <c r="FX82" s="744"/>
      <c r="FY82" s="744"/>
      <c r="FZ82" s="744"/>
      <c r="GA82" s="744"/>
      <c r="GB82" s="744"/>
      <c r="GC82" s="744"/>
      <c r="GD82" s="744"/>
      <c r="GE82" s="744"/>
      <c r="GF82" s="744"/>
      <c r="GG82" s="744"/>
      <c r="GH82" s="744"/>
      <c r="GI82" s="744"/>
      <c r="GJ82" s="744"/>
      <c r="GK82" s="744"/>
      <c r="GL82" s="744"/>
      <c r="GM82" s="744"/>
      <c r="GN82" s="744"/>
      <c r="GO82" s="744"/>
      <c r="GP82" s="744"/>
      <c r="GQ82" s="744"/>
      <c r="GR82" s="744"/>
      <c r="GS82" s="744"/>
      <c r="GT82" s="744"/>
      <c r="GU82" s="744"/>
      <c r="GV82" s="744"/>
      <c r="GW82" s="744"/>
      <c r="GX82" s="744"/>
      <c r="GY82" s="744"/>
      <c r="GZ82" s="744"/>
      <c r="HA82" s="744"/>
      <c r="HB82" s="744"/>
      <c r="HC82" s="744"/>
      <c r="HD82" s="744"/>
      <c r="HE82" s="744"/>
      <c r="HF82" s="744"/>
      <c r="HG82" s="744"/>
      <c r="HH82" s="744"/>
      <c r="HI82" s="744"/>
      <c r="HJ82" s="744"/>
      <c r="HK82" s="744"/>
      <c r="HL82" s="744"/>
      <c r="HM82" s="744"/>
      <c r="HN82" s="744"/>
      <c r="HO82" s="744"/>
      <c r="HP82" s="744"/>
      <c r="HQ82" s="744"/>
      <c r="HR82" s="744"/>
      <c r="HS82" s="744"/>
      <c r="HT82" s="744"/>
      <c r="HU82" s="744"/>
      <c r="HV82" s="744"/>
      <c r="HW82" s="744"/>
      <c r="HX82" s="744"/>
      <c r="HY82" s="744"/>
      <c r="HZ82" s="744"/>
      <c r="IA82" s="744"/>
      <c r="IB82" s="744"/>
      <c r="IC82" s="744"/>
      <c r="ID82" s="744"/>
      <c r="IE82" s="744"/>
      <c r="IF82" s="744"/>
      <c r="IG82" s="744"/>
      <c r="IH82" s="744"/>
      <c r="II82" s="744"/>
      <c r="IJ82" s="744"/>
      <c r="IK82" s="744"/>
      <c r="IL82" s="744"/>
      <c r="IM82" s="744"/>
      <c r="IN82" s="744"/>
      <c r="IO82" s="744"/>
      <c r="IP82" s="744"/>
      <c r="IQ82" s="744"/>
      <c r="IR82" s="744"/>
      <c r="IS82" s="744"/>
    </row>
    <row r="83" s="73" customFormat="1" ht="32.45" customHeight="1" spans="1:253">
      <c r="A83" s="709" t="s">
        <v>161</v>
      </c>
      <c r="B83" s="682" t="s">
        <v>162</v>
      </c>
      <c r="C83" s="732" t="s">
        <v>163</v>
      </c>
      <c r="D83" s="729" t="s">
        <v>17</v>
      </c>
      <c r="E83" s="733">
        <f>'PB VI - Memorial'!B136</f>
        <v>66.19</v>
      </c>
      <c r="F83" s="711">
        <v>21.57</v>
      </c>
      <c r="G83" s="711">
        <f t="shared" si="5"/>
        <v>1427.72</v>
      </c>
      <c r="H83" s="724"/>
      <c r="I83" s="724"/>
      <c r="J83" s="724"/>
      <c r="K83" s="724"/>
      <c r="L83" s="724"/>
      <c r="M83" s="724"/>
      <c r="N83" s="741"/>
      <c r="O83" s="741"/>
      <c r="P83" s="741"/>
      <c r="Q83" s="741"/>
      <c r="R83" s="741"/>
      <c r="S83" s="741"/>
      <c r="T83" s="741"/>
      <c r="U83" s="741"/>
      <c r="V83" s="741"/>
      <c r="W83" s="741"/>
      <c r="X83" s="741"/>
      <c r="Y83" s="741"/>
      <c r="Z83" s="741"/>
      <c r="AA83" s="741"/>
      <c r="AB83" s="741"/>
      <c r="AC83" s="741"/>
      <c r="AD83" s="741"/>
      <c r="AE83" s="741"/>
      <c r="AF83" s="741"/>
      <c r="AG83" s="741"/>
      <c r="AH83" s="741"/>
      <c r="AI83" s="741"/>
      <c r="AJ83" s="741"/>
      <c r="AK83" s="741"/>
      <c r="AL83" s="741"/>
      <c r="AM83" s="741"/>
      <c r="AN83" s="741"/>
      <c r="AO83" s="741"/>
      <c r="AP83" s="741"/>
      <c r="AQ83" s="741"/>
      <c r="AR83" s="741"/>
      <c r="AS83" s="741"/>
      <c r="AT83" s="741"/>
      <c r="AU83" s="741"/>
      <c r="AV83" s="741"/>
      <c r="AW83" s="741"/>
      <c r="AX83" s="741"/>
      <c r="AY83" s="741"/>
      <c r="AZ83" s="741"/>
      <c r="BA83" s="741"/>
      <c r="BB83" s="741"/>
      <c r="BC83" s="741"/>
      <c r="BD83" s="741"/>
      <c r="BE83" s="741"/>
      <c r="BF83" s="741"/>
      <c r="BG83" s="741"/>
      <c r="BH83" s="741"/>
      <c r="BI83" s="741"/>
      <c r="BJ83" s="741"/>
      <c r="BK83" s="741"/>
      <c r="BL83" s="741"/>
      <c r="BM83" s="741"/>
      <c r="BN83" s="741"/>
      <c r="BO83" s="741"/>
      <c r="BP83" s="741"/>
      <c r="BQ83" s="741"/>
      <c r="BR83" s="741"/>
      <c r="BS83" s="741"/>
      <c r="BT83" s="741"/>
      <c r="BU83" s="741"/>
      <c r="BV83" s="741"/>
      <c r="BW83" s="744"/>
      <c r="BX83" s="744"/>
      <c r="BY83" s="744"/>
      <c r="BZ83" s="744"/>
      <c r="CA83" s="744"/>
      <c r="CB83" s="744"/>
      <c r="CC83" s="744"/>
      <c r="CD83" s="744"/>
      <c r="CE83" s="744"/>
      <c r="CF83" s="744"/>
      <c r="CG83" s="744"/>
      <c r="CH83" s="744"/>
      <c r="CI83" s="744"/>
      <c r="CJ83" s="744"/>
      <c r="CK83" s="744"/>
      <c r="CL83" s="744"/>
      <c r="CM83" s="744"/>
      <c r="CN83" s="744"/>
      <c r="CO83" s="744"/>
      <c r="CP83" s="744"/>
      <c r="CQ83" s="744"/>
      <c r="CR83" s="744"/>
      <c r="CS83" s="744"/>
      <c r="CT83" s="744"/>
      <c r="CU83" s="744"/>
      <c r="CV83" s="744"/>
      <c r="CW83" s="744"/>
      <c r="CX83" s="744"/>
      <c r="CY83" s="744"/>
      <c r="CZ83" s="744"/>
      <c r="DA83" s="744"/>
      <c r="DB83" s="744"/>
      <c r="DC83" s="744"/>
      <c r="DD83" s="744"/>
      <c r="DE83" s="744"/>
      <c r="DF83" s="744"/>
      <c r="DG83" s="744"/>
      <c r="DH83" s="744"/>
      <c r="DI83" s="744"/>
      <c r="DJ83" s="744"/>
      <c r="DK83" s="744"/>
      <c r="DL83" s="744"/>
      <c r="DM83" s="744"/>
      <c r="DN83" s="744"/>
      <c r="DO83" s="744"/>
      <c r="DP83" s="744"/>
      <c r="DQ83" s="744"/>
      <c r="DR83" s="744"/>
      <c r="DS83" s="744"/>
      <c r="DT83" s="744"/>
      <c r="DU83" s="744"/>
      <c r="DV83" s="744"/>
      <c r="DW83" s="744"/>
      <c r="DX83" s="744"/>
      <c r="DY83" s="744"/>
      <c r="DZ83" s="744"/>
      <c r="EA83" s="744"/>
      <c r="EB83" s="744"/>
      <c r="EC83" s="744"/>
      <c r="ED83" s="744"/>
      <c r="EE83" s="744"/>
      <c r="EF83" s="744"/>
      <c r="EG83" s="744"/>
      <c r="EH83" s="744"/>
      <c r="EI83" s="744"/>
      <c r="EJ83" s="744"/>
      <c r="EK83" s="744"/>
      <c r="EL83" s="744"/>
      <c r="EM83" s="744"/>
      <c r="EN83" s="744"/>
      <c r="EO83" s="744"/>
      <c r="EP83" s="744"/>
      <c r="EQ83" s="744"/>
      <c r="ER83" s="744"/>
      <c r="ES83" s="744"/>
      <c r="ET83" s="744"/>
      <c r="EU83" s="744"/>
      <c r="EV83" s="744"/>
      <c r="EW83" s="744"/>
      <c r="EX83" s="744"/>
      <c r="EY83" s="744"/>
      <c r="EZ83" s="744"/>
      <c r="FA83" s="744"/>
      <c r="FB83" s="744"/>
      <c r="FC83" s="744"/>
      <c r="FD83" s="744"/>
      <c r="FE83" s="744"/>
      <c r="FF83" s="744"/>
      <c r="FG83" s="744"/>
      <c r="FH83" s="744"/>
      <c r="FI83" s="744"/>
      <c r="FJ83" s="744"/>
      <c r="FK83" s="744"/>
      <c r="FL83" s="744"/>
      <c r="FM83" s="744"/>
      <c r="FN83" s="744"/>
      <c r="FO83" s="744"/>
      <c r="FP83" s="744"/>
      <c r="FQ83" s="744"/>
      <c r="FR83" s="744"/>
      <c r="FS83" s="744"/>
      <c r="FT83" s="744"/>
      <c r="FU83" s="744"/>
      <c r="FV83" s="744"/>
      <c r="FW83" s="744"/>
      <c r="FX83" s="744"/>
      <c r="FY83" s="744"/>
      <c r="FZ83" s="744"/>
      <c r="GA83" s="744"/>
      <c r="GB83" s="744"/>
      <c r="GC83" s="744"/>
      <c r="GD83" s="744"/>
      <c r="GE83" s="744"/>
      <c r="GF83" s="744"/>
      <c r="GG83" s="744"/>
      <c r="GH83" s="744"/>
      <c r="GI83" s="744"/>
      <c r="GJ83" s="744"/>
      <c r="GK83" s="744"/>
      <c r="GL83" s="744"/>
      <c r="GM83" s="744"/>
      <c r="GN83" s="744"/>
      <c r="GO83" s="744"/>
      <c r="GP83" s="744"/>
      <c r="GQ83" s="744"/>
      <c r="GR83" s="744"/>
      <c r="GS83" s="744"/>
      <c r="GT83" s="744"/>
      <c r="GU83" s="744"/>
      <c r="GV83" s="744"/>
      <c r="GW83" s="744"/>
      <c r="GX83" s="744"/>
      <c r="GY83" s="744"/>
      <c r="GZ83" s="744"/>
      <c r="HA83" s="744"/>
      <c r="HB83" s="744"/>
      <c r="HC83" s="744"/>
      <c r="HD83" s="744"/>
      <c r="HE83" s="744"/>
      <c r="HF83" s="744"/>
      <c r="HG83" s="744"/>
      <c r="HH83" s="744"/>
      <c r="HI83" s="744"/>
      <c r="HJ83" s="744"/>
      <c r="HK83" s="744"/>
      <c r="HL83" s="744"/>
      <c r="HM83" s="744"/>
      <c r="HN83" s="744"/>
      <c r="HO83" s="744"/>
      <c r="HP83" s="744"/>
      <c r="HQ83" s="744"/>
      <c r="HR83" s="744"/>
      <c r="HS83" s="744"/>
      <c r="HT83" s="744"/>
      <c r="HU83" s="744"/>
      <c r="HV83" s="744"/>
      <c r="HW83" s="744"/>
      <c r="HX83" s="744"/>
      <c r="HY83" s="744"/>
      <c r="HZ83" s="744"/>
      <c r="IA83" s="744"/>
      <c r="IB83" s="744"/>
      <c r="IC83" s="744"/>
      <c r="ID83" s="744"/>
      <c r="IE83" s="744"/>
      <c r="IF83" s="744"/>
      <c r="IG83" s="744"/>
      <c r="IH83" s="744"/>
      <c r="II83" s="744"/>
      <c r="IJ83" s="744"/>
      <c r="IK83" s="744"/>
      <c r="IL83" s="744"/>
      <c r="IM83" s="744"/>
      <c r="IN83" s="744"/>
      <c r="IO83" s="744"/>
      <c r="IP83" s="744"/>
      <c r="IQ83" s="744"/>
      <c r="IR83" s="744"/>
      <c r="IS83" s="744"/>
    </row>
    <row r="84" s="73" customFormat="1" ht="21" spans="1:253">
      <c r="A84" s="734"/>
      <c r="B84" s="735" t="s">
        <v>164</v>
      </c>
      <c r="C84" s="736" t="s">
        <v>165</v>
      </c>
      <c r="D84" s="729"/>
      <c r="E84" s="733"/>
      <c r="F84" s="711"/>
      <c r="G84" s="711"/>
      <c r="H84" s="724"/>
      <c r="I84" s="724"/>
      <c r="J84" s="724"/>
      <c r="K84" s="724"/>
      <c r="L84" s="724"/>
      <c r="M84" s="724"/>
      <c r="N84" s="741"/>
      <c r="O84" s="741"/>
      <c r="P84" s="741"/>
      <c r="Q84" s="741"/>
      <c r="R84" s="741"/>
      <c r="S84" s="741"/>
      <c r="T84" s="741"/>
      <c r="U84" s="741"/>
      <c r="V84" s="741"/>
      <c r="W84" s="741"/>
      <c r="X84" s="741"/>
      <c r="Y84" s="741"/>
      <c r="Z84" s="741"/>
      <c r="AA84" s="741"/>
      <c r="AB84" s="741"/>
      <c r="AC84" s="741"/>
      <c r="AD84" s="741"/>
      <c r="AE84" s="741"/>
      <c r="AF84" s="741"/>
      <c r="AG84" s="741"/>
      <c r="AH84" s="741"/>
      <c r="AI84" s="741"/>
      <c r="AJ84" s="741"/>
      <c r="AK84" s="741"/>
      <c r="AL84" s="741"/>
      <c r="AM84" s="741"/>
      <c r="AN84" s="741"/>
      <c r="AO84" s="741"/>
      <c r="AP84" s="741"/>
      <c r="AQ84" s="741"/>
      <c r="AR84" s="741"/>
      <c r="AS84" s="741"/>
      <c r="AT84" s="741"/>
      <c r="AU84" s="741"/>
      <c r="AV84" s="741"/>
      <c r="AW84" s="741"/>
      <c r="AX84" s="741"/>
      <c r="AY84" s="741"/>
      <c r="AZ84" s="741"/>
      <c r="BA84" s="741"/>
      <c r="BB84" s="741"/>
      <c r="BC84" s="741"/>
      <c r="BD84" s="741"/>
      <c r="BE84" s="741"/>
      <c r="BF84" s="741"/>
      <c r="BG84" s="741"/>
      <c r="BH84" s="741"/>
      <c r="BI84" s="741"/>
      <c r="BJ84" s="741"/>
      <c r="BK84" s="741"/>
      <c r="BL84" s="741"/>
      <c r="BM84" s="741"/>
      <c r="BN84" s="741"/>
      <c r="BO84" s="741"/>
      <c r="BP84" s="741"/>
      <c r="BQ84" s="741"/>
      <c r="BR84" s="741"/>
      <c r="BS84" s="741"/>
      <c r="BT84" s="741"/>
      <c r="BU84" s="741"/>
      <c r="BV84" s="741"/>
      <c r="BW84" s="744"/>
      <c r="BX84" s="744"/>
      <c r="BY84" s="744"/>
      <c r="BZ84" s="744"/>
      <c r="CA84" s="744"/>
      <c r="CB84" s="744"/>
      <c r="CC84" s="744"/>
      <c r="CD84" s="744"/>
      <c r="CE84" s="744"/>
      <c r="CF84" s="744"/>
      <c r="CG84" s="744"/>
      <c r="CH84" s="744"/>
      <c r="CI84" s="744"/>
      <c r="CJ84" s="744"/>
      <c r="CK84" s="744"/>
      <c r="CL84" s="744"/>
      <c r="CM84" s="744"/>
      <c r="CN84" s="744"/>
      <c r="CO84" s="744"/>
      <c r="CP84" s="744"/>
      <c r="CQ84" s="744"/>
      <c r="CR84" s="744"/>
      <c r="CS84" s="744"/>
      <c r="CT84" s="744"/>
      <c r="CU84" s="744"/>
      <c r="CV84" s="744"/>
      <c r="CW84" s="744"/>
      <c r="CX84" s="744"/>
      <c r="CY84" s="744"/>
      <c r="CZ84" s="744"/>
      <c r="DA84" s="744"/>
      <c r="DB84" s="744"/>
      <c r="DC84" s="744"/>
      <c r="DD84" s="744"/>
      <c r="DE84" s="744"/>
      <c r="DF84" s="744"/>
      <c r="DG84" s="744"/>
      <c r="DH84" s="744"/>
      <c r="DI84" s="744"/>
      <c r="DJ84" s="744"/>
      <c r="DK84" s="744"/>
      <c r="DL84" s="744"/>
      <c r="DM84" s="744"/>
      <c r="DN84" s="744"/>
      <c r="DO84" s="744"/>
      <c r="DP84" s="744"/>
      <c r="DQ84" s="744"/>
      <c r="DR84" s="744"/>
      <c r="DS84" s="744"/>
      <c r="DT84" s="744"/>
      <c r="DU84" s="744"/>
      <c r="DV84" s="744"/>
      <c r="DW84" s="744"/>
      <c r="DX84" s="744"/>
      <c r="DY84" s="744"/>
      <c r="DZ84" s="744"/>
      <c r="EA84" s="744"/>
      <c r="EB84" s="744"/>
      <c r="EC84" s="744"/>
      <c r="ED84" s="744"/>
      <c r="EE84" s="744"/>
      <c r="EF84" s="744"/>
      <c r="EG84" s="744"/>
      <c r="EH84" s="744"/>
      <c r="EI84" s="744"/>
      <c r="EJ84" s="744"/>
      <c r="EK84" s="744"/>
      <c r="EL84" s="744"/>
      <c r="EM84" s="744"/>
      <c r="EN84" s="744"/>
      <c r="EO84" s="744"/>
      <c r="EP84" s="744"/>
      <c r="EQ84" s="744"/>
      <c r="ER84" s="744"/>
      <c r="ES84" s="744"/>
      <c r="ET84" s="744"/>
      <c r="EU84" s="744"/>
      <c r="EV84" s="744"/>
      <c r="EW84" s="744"/>
      <c r="EX84" s="744"/>
      <c r="EY84" s="744"/>
      <c r="EZ84" s="744"/>
      <c r="FA84" s="744"/>
      <c r="FB84" s="744"/>
      <c r="FC84" s="744"/>
      <c r="FD84" s="744"/>
      <c r="FE84" s="744"/>
      <c r="FF84" s="744"/>
      <c r="FG84" s="744"/>
      <c r="FH84" s="744"/>
      <c r="FI84" s="744"/>
      <c r="FJ84" s="744"/>
      <c r="FK84" s="744"/>
      <c r="FL84" s="744"/>
      <c r="FM84" s="744"/>
      <c r="FN84" s="744"/>
      <c r="FO84" s="744"/>
      <c r="FP84" s="744"/>
      <c r="FQ84" s="744"/>
      <c r="FR84" s="744"/>
      <c r="FS84" s="744"/>
      <c r="FT84" s="744"/>
      <c r="FU84" s="744"/>
      <c r="FV84" s="744"/>
      <c r="FW84" s="744"/>
      <c r="FX84" s="744"/>
      <c r="FY84" s="744"/>
      <c r="FZ84" s="744"/>
      <c r="GA84" s="744"/>
      <c r="GB84" s="744"/>
      <c r="GC84" s="744"/>
      <c r="GD84" s="744"/>
      <c r="GE84" s="744"/>
      <c r="GF84" s="744"/>
      <c r="GG84" s="744"/>
      <c r="GH84" s="744"/>
      <c r="GI84" s="744"/>
      <c r="GJ84" s="744"/>
      <c r="GK84" s="744"/>
      <c r="GL84" s="744"/>
      <c r="GM84" s="744"/>
      <c r="GN84" s="744"/>
      <c r="GO84" s="744"/>
      <c r="GP84" s="744"/>
      <c r="GQ84" s="744"/>
      <c r="GR84" s="744"/>
      <c r="GS84" s="744"/>
      <c r="GT84" s="744"/>
      <c r="GU84" s="744"/>
      <c r="GV84" s="744"/>
      <c r="GW84" s="744"/>
      <c r="GX84" s="744"/>
      <c r="GY84" s="744"/>
      <c r="GZ84" s="744"/>
      <c r="HA84" s="744"/>
      <c r="HB84" s="744"/>
      <c r="HC84" s="744"/>
      <c r="HD84" s="744"/>
      <c r="HE84" s="744"/>
      <c r="HF84" s="744"/>
      <c r="HG84" s="744"/>
      <c r="HH84" s="744"/>
      <c r="HI84" s="744"/>
      <c r="HJ84" s="744"/>
      <c r="HK84" s="744"/>
      <c r="HL84" s="744"/>
      <c r="HM84" s="744"/>
      <c r="HN84" s="744"/>
      <c r="HO84" s="744"/>
      <c r="HP84" s="744"/>
      <c r="HQ84" s="744"/>
      <c r="HR84" s="744"/>
      <c r="HS84" s="744"/>
      <c r="HT84" s="744"/>
      <c r="HU84" s="744"/>
      <c r="HV84" s="744"/>
      <c r="HW84" s="744"/>
      <c r="HX84" s="744"/>
      <c r="HY84" s="744"/>
      <c r="HZ84" s="744"/>
      <c r="IA84" s="744"/>
      <c r="IB84" s="744"/>
      <c r="IC84" s="744"/>
      <c r="ID84" s="744"/>
      <c r="IE84" s="744"/>
      <c r="IF84" s="744"/>
      <c r="IG84" s="744"/>
      <c r="IH84" s="744"/>
      <c r="II84" s="744"/>
      <c r="IJ84" s="744"/>
      <c r="IK84" s="744"/>
      <c r="IL84" s="744"/>
      <c r="IM84" s="744"/>
      <c r="IN84" s="744"/>
      <c r="IO84" s="744"/>
      <c r="IP84" s="744"/>
      <c r="IQ84" s="744"/>
      <c r="IR84" s="744"/>
      <c r="IS84" s="744"/>
    </row>
    <row r="85" s="73" customFormat="1" ht="15" spans="1:253">
      <c r="A85" s="709" t="s">
        <v>139</v>
      </c>
      <c r="B85" s="682" t="s">
        <v>166</v>
      </c>
      <c r="C85" s="732" t="s">
        <v>167</v>
      </c>
      <c r="D85" s="729" t="s">
        <v>56</v>
      </c>
      <c r="E85" s="733">
        <f>'PB VI - Memorial'!B139</f>
        <v>9.08</v>
      </c>
      <c r="F85" s="711">
        <f>F75</f>
        <v>393.85</v>
      </c>
      <c r="G85" s="711">
        <f>ROUND(E85*F85,2)</f>
        <v>3576.16</v>
      </c>
      <c r="H85" s="724"/>
      <c r="I85" s="724"/>
      <c r="J85" s="724"/>
      <c r="K85" s="724"/>
      <c r="L85" s="724"/>
      <c r="M85" s="724"/>
      <c r="N85" s="741"/>
      <c r="O85" s="741"/>
      <c r="P85" s="741"/>
      <c r="Q85" s="741"/>
      <c r="R85" s="741"/>
      <c r="S85" s="741"/>
      <c r="T85" s="741"/>
      <c r="U85" s="741"/>
      <c r="V85" s="741"/>
      <c r="W85" s="741"/>
      <c r="X85" s="741"/>
      <c r="Y85" s="741"/>
      <c r="Z85" s="741"/>
      <c r="AA85" s="741"/>
      <c r="AB85" s="741"/>
      <c r="AC85" s="741"/>
      <c r="AD85" s="741"/>
      <c r="AE85" s="741"/>
      <c r="AF85" s="741"/>
      <c r="AG85" s="741"/>
      <c r="AH85" s="741"/>
      <c r="AI85" s="741"/>
      <c r="AJ85" s="741"/>
      <c r="AK85" s="741"/>
      <c r="AL85" s="741"/>
      <c r="AM85" s="741"/>
      <c r="AN85" s="741"/>
      <c r="AO85" s="741"/>
      <c r="AP85" s="741"/>
      <c r="AQ85" s="741"/>
      <c r="AR85" s="741"/>
      <c r="AS85" s="741"/>
      <c r="AT85" s="741"/>
      <c r="AU85" s="741"/>
      <c r="AV85" s="741"/>
      <c r="AW85" s="741"/>
      <c r="AX85" s="741"/>
      <c r="AY85" s="741"/>
      <c r="AZ85" s="741"/>
      <c r="BA85" s="741"/>
      <c r="BB85" s="741"/>
      <c r="BC85" s="741"/>
      <c r="BD85" s="741"/>
      <c r="BE85" s="741"/>
      <c r="BF85" s="741"/>
      <c r="BG85" s="741"/>
      <c r="BH85" s="741"/>
      <c r="BI85" s="741"/>
      <c r="BJ85" s="741"/>
      <c r="BK85" s="741"/>
      <c r="BL85" s="741"/>
      <c r="BM85" s="741"/>
      <c r="BN85" s="741"/>
      <c r="BO85" s="741"/>
      <c r="BP85" s="741"/>
      <c r="BQ85" s="741"/>
      <c r="BR85" s="741"/>
      <c r="BS85" s="741"/>
      <c r="BT85" s="741"/>
      <c r="BU85" s="741"/>
      <c r="BV85" s="741"/>
      <c r="BW85" s="744"/>
      <c r="BX85" s="744"/>
      <c r="BY85" s="744"/>
      <c r="BZ85" s="744"/>
      <c r="CA85" s="744"/>
      <c r="CB85" s="744"/>
      <c r="CC85" s="744"/>
      <c r="CD85" s="744"/>
      <c r="CE85" s="744"/>
      <c r="CF85" s="744"/>
      <c r="CG85" s="744"/>
      <c r="CH85" s="744"/>
      <c r="CI85" s="744"/>
      <c r="CJ85" s="744"/>
      <c r="CK85" s="744"/>
      <c r="CL85" s="744"/>
      <c r="CM85" s="744"/>
      <c r="CN85" s="744"/>
      <c r="CO85" s="744"/>
      <c r="CP85" s="744"/>
      <c r="CQ85" s="744"/>
      <c r="CR85" s="744"/>
      <c r="CS85" s="744"/>
      <c r="CT85" s="744"/>
      <c r="CU85" s="744"/>
      <c r="CV85" s="744"/>
      <c r="CW85" s="744"/>
      <c r="CX85" s="744"/>
      <c r="CY85" s="744"/>
      <c r="CZ85" s="744"/>
      <c r="DA85" s="744"/>
      <c r="DB85" s="744"/>
      <c r="DC85" s="744"/>
      <c r="DD85" s="744"/>
      <c r="DE85" s="744"/>
      <c r="DF85" s="744"/>
      <c r="DG85" s="744"/>
      <c r="DH85" s="744"/>
      <c r="DI85" s="744"/>
      <c r="DJ85" s="744"/>
      <c r="DK85" s="744"/>
      <c r="DL85" s="744"/>
      <c r="DM85" s="744"/>
      <c r="DN85" s="744"/>
      <c r="DO85" s="744"/>
      <c r="DP85" s="744"/>
      <c r="DQ85" s="744"/>
      <c r="DR85" s="744"/>
      <c r="DS85" s="744"/>
      <c r="DT85" s="744"/>
      <c r="DU85" s="744"/>
      <c r="DV85" s="744"/>
      <c r="DW85" s="744"/>
      <c r="DX85" s="744"/>
      <c r="DY85" s="744"/>
      <c r="DZ85" s="744"/>
      <c r="EA85" s="744"/>
      <c r="EB85" s="744"/>
      <c r="EC85" s="744"/>
      <c r="ED85" s="744"/>
      <c r="EE85" s="744"/>
      <c r="EF85" s="744"/>
      <c r="EG85" s="744"/>
      <c r="EH85" s="744"/>
      <c r="EI85" s="744"/>
      <c r="EJ85" s="744"/>
      <c r="EK85" s="744"/>
      <c r="EL85" s="744"/>
      <c r="EM85" s="744"/>
      <c r="EN85" s="744"/>
      <c r="EO85" s="744"/>
      <c r="EP85" s="744"/>
      <c r="EQ85" s="744"/>
      <c r="ER85" s="744"/>
      <c r="ES85" s="744"/>
      <c r="ET85" s="744"/>
      <c r="EU85" s="744"/>
      <c r="EV85" s="744"/>
      <c r="EW85" s="744"/>
      <c r="EX85" s="744"/>
      <c r="EY85" s="744"/>
      <c r="EZ85" s="744"/>
      <c r="FA85" s="744"/>
      <c r="FB85" s="744"/>
      <c r="FC85" s="744"/>
      <c r="FD85" s="744"/>
      <c r="FE85" s="744"/>
      <c r="FF85" s="744"/>
      <c r="FG85" s="744"/>
      <c r="FH85" s="744"/>
      <c r="FI85" s="744"/>
      <c r="FJ85" s="744"/>
      <c r="FK85" s="744"/>
      <c r="FL85" s="744"/>
      <c r="FM85" s="744"/>
      <c r="FN85" s="744"/>
      <c r="FO85" s="744"/>
      <c r="FP85" s="744"/>
      <c r="FQ85" s="744"/>
      <c r="FR85" s="744"/>
      <c r="FS85" s="744"/>
      <c r="FT85" s="744"/>
      <c r="FU85" s="744"/>
      <c r="FV85" s="744"/>
      <c r="FW85" s="744"/>
      <c r="FX85" s="744"/>
      <c r="FY85" s="744"/>
      <c r="FZ85" s="744"/>
      <c r="GA85" s="744"/>
      <c r="GB85" s="744"/>
      <c r="GC85" s="744"/>
      <c r="GD85" s="744"/>
      <c r="GE85" s="744"/>
      <c r="GF85" s="744"/>
      <c r="GG85" s="744"/>
      <c r="GH85" s="744"/>
      <c r="GI85" s="744"/>
      <c r="GJ85" s="744"/>
      <c r="GK85" s="744"/>
      <c r="GL85" s="744"/>
      <c r="GM85" s="744"/>
      <c r="GN85" s="744"/>
      <c r="GO85" s="744"/>
      <c r="GP85" s="744"/>
      <c r="GQ85" s="744"/>
      <c r="GR85" s="744"/>
      <c r="GS85" s="744"/>
      <c r="GT85" s="744"/>
      <c r="GU85" s="744"/>
      <c r="GV85" s="744"/>
      <c r="GW85" s="744"/>
      <c r="GX85" s="744"/>
      <c r="GY85" s="744"/>
      <c r="GZ85" s="744"/>
      <c r="HA85" s="744"/>
      <c r="HB85" s="744"/>
      <c r="HC85" s="744"/>
      <c r="HD85" s="744"/>
      <c r="HE85" s="744"/>
      <c r="HF85" s="744"/>
      <c r="HG85" s="744"/>
      <c r="HH85" s="744"/>
      <c r="HI85" s="744"/>
      <c r="HJ85" s="744"/>
      <c r="HK85" s="744"/>
      <c r="HL85" s="744"/>
      <c r="HM85" s="744"/>
      <c r="HN85" s="744"/>
      <c r="HO85" s="744"/>
      <c r="HP85" s="744"/>
      <c r="HQ85" s="744"/>
      <c r="HR85" s="744"/>
      <c r="HS85" s="744"/>
      <c r="HT85" s="744"/>
      <c r="HU85" s="744"/>
      <c r="HV85" s="744"/>
      <c r="HW85" s="744"/>
      <c r="HX85" s="744"/>
      <c r="HY85" s="744"/>
      <c r="HZ85" s="744"/>
      <c r="IA85" s="744"/>
      <c r="IB85" s="744"/>
      <c r="IC85" s="744"/>
      <c r="ID85" s="744"/>
      <c r="IE85" s="744"/>
      <c r="IF85" s="744"/>
      <c r="IG85" s="744"/>
      <c r="IH85" s="744"/>
      <c r="II85" s="744"/>
      <c r="IJ85" s="744"/>
      <c r="IK85" s="744"/>
      <c r="IL85" s="744"/>
      <c r="IM85" s="744"/>
      <c r="IN85" s="744"/>
      <c r="IO85" s="744"/>
      <c r="IP85" s="744"/>
      <c r="IQ85" s="744"/>
      <c r="IR85" s="744"/>
      <c r="IS85" s="744"/>
    </row>
    <row r="86" s="73" customFormat="1" ht="15" spans="1:253">
      <c r="A86" s="709" t="s">
        <v>90</v>
      </c>
      <c r="B86" s="682" t="s">
        <v>168</v>
      </c>
      <c r="C86" s="732" t="s">
        <v>143</v>
      </c>
      <c r="D86" s="729" t="s">
        <v>56</v>
      </c>
      <c r="E86" s="733">
        <f>E85</f>
        <v>9.08</v>
      </c>
      <c r="F86" s="711">
        <f>F76</f>
        <v>143.94</v>
      </c>
      <c r="G86" s="711">
        <f t="shared" ref="G86:G137" si="6">ROUND(E86*F86,2)</f>
        <v>1306.98</v>
      </c>
      <c r="H86" s="724"/>
      <c r="I86" s="724"/>
      <c r="J86" s="724"/>
      <c r="K86" s="724"/>
      <c r="L86" s="724"/>
      <c r="M86" s="724"/>
      <c r="N86" s="741"/>
      <c r="O86" s="741"/>
      <c r="P86" s="741"/>
      <c r="Q86" s="741"/>
      <c r="R86" s="741"/>
      <c r="S86" s="741"/>
      <c r="T86" s="741"/>
      <c r="U86" s="741"/>
      <c r="V86" s="741"/>
      <c r="W86" s="741"/>
      <c r="X86" s="741"/>
      <c r="Y86" s="741"/>
      <c r="Z86" s="741"/>
      <c r="AA86" s="741"/>
      <c r="AB86" s="741"/>
      <c r="AC86" s="741"/>
      <c r="AD86" s="741"/>
      <c r="AE86" s="741"/>
      <c r="AF86" s="741"/>
      <c r="AG86" s="741"/>
      <c r="AH86" s="741"/>
      <c r="AI86" s="741"/>
      <c r="AJ86" s="741"/>
      <c r="AK86" s="741"/>
      <c r="AL86" s="741"/>
      <c r="AM86" s="741"/>
      <c r="AN86" s="741"/>
      <c r="AO86" s="741"/>
      <c r="AP86" s="741"/>
      <c r="AQ86" s="741"/>
      <c r="AR86" s="741"/>
      <c r="AS86" s="741"/>
      <c r="AT86" s="741"/>
      <c r="AU86" s="741"/>
      <c r="AV86" s="741"/>
      <c r="AW86" s="741"/>
      <c r="AX86" s="741"/>
      <c r="AY86" s="741"/>
      <c r="AZ86" s="741"/>
      <c r="BA86" s="741"/>
      <c r="BB86" s="741"/>
      <c r="BC86" s="741"/>
      <c r="BD86" s="741"/>
      <c r="BE86" s="741"/>
      <c r="BF86" s="741"/>
      <c r="BG86" s="741"/>
      <c r="BH86" s="741"/>
      <c r="BI86" s="741"/>
      <c r="BJ86" s="741"/>
      <c r="BK86" s="741"/>
      <c r="BL86" s="741"/>
      <c r="BM86" s="741"/>
      <c r="BN86" s="741"/>
      <c r="BO86" s="741"/>
      <c r="BP86" s="741"/>
      <c r="BQ86" s="741"/>
      <c r="BR86" s="741"/>
      <c r="BS86" s="741"/>
      <c r="BT86" s="741"/>
      <c r="BU86" s="741"/>
      <c r="BV86" s="741"/>
      <c r="BW86" s="744"/>
      <c r="BX86" s="744"/>
      <c r="BY86" s="744"/>
      <c r="BZ86" s="744"/>
      <c r="CA86" s="744"/>
      <c r="CB86" s="744"/>
      <c r="CC86" s="744"/>
      <c r="CD86" s="744"/>
      <c r="CE86" s="744"/>
      <c r="CF86" s="744"/>
      <c r="CG86" s="744"/>
      <c r="CH86" s="744"/>
      <c r="CI86" s="744"/>
      <c r="CJ86" s="744"/>
      <c r="CK86" s="744"/>
      <c r="CL86" s="744"/>
      <c r="CM86" s="744"/>
      <c r="CN86" s="744"/>
      <c r="CO86" s="744"/>
      <c r="CP86" s="744"/>
      <c r="CQ86" s="744"/>
      <c r="CR86" s="744"/>
      <c r="CS86" s="744"/>
      <c r="CT86" s="744"/>
      <c r="CU86" s="744"/>
      <c r="CV86" s="744"/>
      <c r="CW86" s="744"/>
      <c r="CX86" s="744"/>
      <c r="CY86" s="744"/>
      <c r="CZ86" s="744"/>
      <c r="DA86" s="744"/>
      <c r="DB86" s="744"/>
      <c r="DC86" s="744"/>
      <c r="DD86" s="744"/>
      <c r="DE86" s="744"/>
      <c r="DF86" s="744"/>
      <c r="DG86" s="744"/>
      <c r="DH86" s="744"/>
      <c r="DI86" s="744"/>
      <c r="DJ86" s="744"/>
      <c r="DK86" s="744"/>
      <c r="DL86" s="744"/>
      <c r="DM86" s="744"/>
      <c r="DN86" s="744"/>
      <c r="DO86" s="744"/>
      <c r="DP86" s="744"/>
      <c r="DQ86" s="744"/>
      <c r="DR86" s="744"/>
      <c r="DS86" s="744"/>
      <c r="DT86" s="744"/>
      <c r="DU86" s="744"/>
      <c r="DV86" s="744"/>
      <c r="DW86" s="744"/>
      <c r="DX86" s="744"/>
      <c r="DY86" s="744"/>
      <c r="DZ86" s="744"/>
      <c r="EA86" s="744"/>
      <c r="EB86" s="744"/>
      <c r="EC86" s="744"/>
      <c r="ED86" s="744"/>
      <c r="EE86" s="744"/>
      <c r="EF86" s="744"/>
      <c r="EG86" s="744"/>
      <c r="EH86" s="744"/>
      <c r="EI86" s="744"/>
      <c r="EJ86" s="744"/>
      <c r="EK86" s="744"/>
      <c r="EL86" s="744"/>
      <c r="EM86" s="744"/>
      <c r="EN86" s="744"/>
      <c r="EO86" s="744"/>
      <c r="EP86" s="744"/>
      <c r="EQ86" s="744"/>
      <c r="ER86" s="744"/>
      <c r="ES86" s="744"/>
      <c r="ET86" s="744"/>
      <c r="EU86" s="744"/>
      <c r="EV86" s="744"/>
      <c r="EW86" s="744"/>
      <c r="EX86" s="744"/>
      <c r="EY86" s="744"/>
      <c r="EZ86" s="744"/>
      <c r="FA86" s="744"/>
      <c r="FB86" s="744"/>
      <c r="FC86" s="744"/>
      <c r="FD86" s="744"/>
      <c r="FE86" s="744"/>
      <c r="FF86" s="744"/>
      <c r="FG86" s="744"/>
      <c r="FH86" s="744"/>
      <c r="FI86" s="744"/>
      <c r="FJ86" s="744"/>
      <c r="FK86" s="744"/>
      <c r="FL86" s="744"/>
      <c r="FM86" s="744"/>
      <c r="FN86" s="744"/>
      <c r="FO86" s="744"/>
      <c r="FP86" s="744"/>
      <c r="FQ86" s="744"/>
      <c r="FR86" s="744"/>
      <c r="FS86" s="744"/>
      <c r="FT86" s="744"/>
      <c r="FU86" s="744"/>
      <c r="FV86" s="744"/>
      <c r="FW86" s="744"/>
      <c r="FX86" s="744"/>
      <c r="FY86" s="744"/>
      <c r="FZ86" s="744"/>
      <c r="GA86" s="744"/>
      <c r="GB86" s="744"/>
      <c r="GC86" s="744"/>
      <c r="GD86" s="744"/>
      <c r="GE86" s="744"/>
      <c r="GF86" s="744"/>
      <c r="GG86" s="744"/>
      <c r="GH86" s="744"/>
      <c r="GI86" s="744"/>
      <c r="GJ86" s="744"/>
      <c r="GK86" s="744"/>
      <c r="GL86" s="744"/>
      <c r="GM86" s="744"/>
      <c r="GN86" s="744"/>
      <c r="GO86" s="744"/>
      <c r="GP86" s="744"/>
      <c r="GQ86" s="744"/>
      <c r="GR86" s="744"/>
      <c r="GS86" s="744"/>
      <c r="GT86" s="744"/>
      <c r="GU86" s="744"/>
      <c r="GV86" s="744"/>
      <c r="GW86" s="744"/>
      <c r="GX86" s="744"/>
      <c r="GY86" s="744"/>
      <c r="GZ86" s="744"/>
      <c r="HA86" s="744"/>
      <c r="HB86" s="744"/>
      <c r="HC86" s="744"/>
      <c r="HD86" s="744"/>
      <c r="HE86" s="744"/>
      <c r="HF86" s="744"/>
      <c r="HG86" s="744"/>
      <c r="HH86" s="744"/>
      <c r="HI86" s="744"/>
      <c r="HJ86" s="744"/>
      <c r="HK86" s="744"/>
      <c r="HL86" s="744"/>
      <c r="HM86" s="744"/>
      <c r="HN86" s="744"/>
      <c r="HO86" s="744"/>
      <c r="HP86" s="744"/>
      <c r="HQ86" s="744"/>
      <c r="HR86" s="744"/>
      <c r="HS86" s="744"/>
      <c r="HT86" s="744"/>
      <c r="HU86" s="744"/>
      <c r="HV86" s="744"/>
      <c r="HW86" s="744"/>
      <c r="HX86" s="744"/>
      <c r="HY86" s="744"/>
      <c r="HZ86" s="744"/>
      <c r="IA86" s="744"/>
      <c r="IB86" s="744"/>
      <c r="IC86" s="744"/>
      <c r="ID86" s="744"/>
      <c r="IE86" s="744"/>
      <c r="IF86" s="744"/>
      <c r="IG86" s="744"/>
      <c r="IH86" s="744"/>
      <c r="II86" s="744"/>
      <c r="IJ86" s="744"/>
      <c r="IK86" s="744"/>
      <c r="IL86" s="744"/>
      <c r="IM86" s="744"/>
      <c r="IN86" s="744"/>
      <c r="IO86" s="744"/>
      <c r="IP86" s="744"/>
      <c r="IQ86" s="744"/>
      <c r="IR86" s="744"/>
      <c r="IS86" s="744"/>
    </row>
    <row r="87" s="73" customFormat="1" ht="15" spans="1:253">
      <c r="A87" s="709" t="s">
        <v>144</v>
      </c>
      <c r="B87" s="682" t="s">
        <v>169</v>
      </c>
      <c r="C87" s="732" t="s">
        <v>170</v>
      </c>
      <c r="D87" s="729" t="s">
        <v>17</v>
      </c>
      <c r="E87" s="733">
        <f>'PB VI - Memorial'!C139</f>
        <v>146.93</v>
      </c>
      <c r="F87" s="711">
        <v>29.91</v>
      </c>
      <c r="G87" s="711">
        <f t="shared" si="6"/>
        <v>4394.68</v>
      </c>
      <c r="H87" s="724"/>
      <c r="I87" s="724"/>
      <c r="J87" s="724"/>
      <c r="K87" s="724"/>
      <c r="L87" s="724"/>
      <c r="M87" s="724"/>
      <c r="N87" s="741"/>
      <c r="O87" s="741"/>
      <c r="P87" s="741"/>
      <c r="Q87" s="741"/>
      <c r="R87" s="741"/>
      <c r="S87" s="741"/>
      <c r="T87" s="741"/>
      <c r="U87" s="741"/>
      <c r="V87" s="741"/>
      <c r="W87" s="741"/>
      <c r="X87" s="741"/>
      <c r="Y87" s="741"/>
      <c r="Z87" s="741"/>
      <c r="AA87" s="741"/>
      <c r="AB87" s="741"/>
      <c r="AC87" s="741"/>
      <c r="AD87" s="741"/>
      <c r="AE87" s="741"/>
      <c r="AF87" s="741"/>
      <c r="AG87" s="741"/>
      <c r="AH87" s="741"/>
      <c r="AI87" s="741"/>
      <c r="AJ87" s="741"/>
      <c r="AK87" s="741"/>
      <c r="AL87" s="741"/>
      <c r="AM87" s="741"/>
      <c r="AN87" s="741"/>
      <c r="AO87" s="741"/>
      <c r="AP87" s="741"/>
      <c r="AQ87" s="741"/>
      <c r="AR87" s="741"/>
      <c r="AS87" s="741"/>
      <c r="AT87" s="741"/>
      <c r="AU87" s="741"/>
      <c r="AV87" s="741"/>
      <c r="AW87" s="741"/>
      <c r="AX87" s="741"/>
      <c r="AY87" s="741"/>
      <c r="AZ87" s="741"/>
      <c r="BA87" s="741"/>
      <c r="BB87" s="741"/>
      <c r="BC87" s="741"/>
      <c r="BD87" s="741"/>
      <c r="BE87" s="741"/>
      <c r="BF87" s="741"/>
      <c r="BG87" s="741"/>
      <c r="BH87" s="741"/>
      <c r="BI87" s="741"/>
      <c r="BJ87" s="741"/>
      <c r="BK87" s="741"/>
      <c r="BL87" s="741"/>
      <c r="BM87" s="741"/>
      <c r="BN87" s="741"/>
      <c r="BO87" s="741"/>
      <c r="BP87" s="741"/>
      <c r="BQ87" s="741"/>
      <c r="BR87" s="741"/>
      <c r="BS87" s="741"/>
      <c r="BT87" s="741"/>
      <c r="BU87" s="741"/>
      <c r="BV87" s="741"/>
      <c r="BW87" s="744"/>
      <c r="BX87" s="744"/>
      <c r="BY87" s="744"/>
      <c r="BZ87" s="744"/>
      <c r="CA87" s="744"/>
      <c r="CB87" s="744"/>
      <c r="CC87" s="744"/>
      <c r="CD87" s="744"/>
      <c r="CE87" s="744"/>
      <c r="CF87" s="744"/>
      <c r="CG87" s="744"/>
      <c r="CH87" s="744"/>
      <c r="CI87" s="744"/>
      <c r="CJ87" s="744"/>
      <c r="CK87" s="744"/>
      <c r="CL87" s="744"/>
      <c r="CM87" s="744"/>
      <c r="CN87" s="744"/>
      <c r="CO87" s="744"/>
      <c r="CP87" s="744"/>
      <c r="CQ87" s="744"/>
      <c r="CR87" s="744"/>
      <c r="CS87" s="744"/>
      <c r="CT87" s="744"/>
      <c r="CU87" s="744"/>
      <c r="CV87" s="744"/>
      <c r="CW87" s="744"/>
      <c r="CX87" s="744"/>
      <c r="CY87" s="744"/>
      <c r="CZ87" s="744"/>
      <c r="DA87" s="744"/>
      <c r="DB87" s="744"/>
      <c r="DC87" s="744"/>
      <c r="DD87" s="744"/>
      <c r="DE87" s="744"/>
      <c r="DF87" s="744"/>
      <c r="DG87" s="744"/>
      <c r="DH87" s="744"/>
      <c r="DI87" s="744"/>
      <c r="DJ87" s="744"/>
      <c r="DK87" s="744"/>
      <c r="DL87" s="744"/>
      <c r="DM87" s="744"/>
      <c r="DN87" s="744"/>
      <c r="DO87" s="744"/>
      <c r="DP87" s="744"/>
      <c r="DQ87" s="744"/>
      <c r="DR87" s="744"/>
      <c r="DS87" s="744"/>
      <c r="DT87" s="744"/>
      <c r="DU87" s="744"/>
      <c r="DV87" s="744"/>
      <c r="DW87" s="744"/>
      <c r="DX87" s="744"/>
      <c r="DY87" s="744"/>
      <c r="DZ87" s="744"/>
      <c r="EA87" s="744"/>
      <c r="EB87" s="744"/>
      <c r="EC87" s="744"/>
      <c r="ED87" s="744"/>
      <c r="EE87" s="744"/>
      <c r="EF87" s="744"/>
      <c r="EG87" s="744"/>
      <c r="EH87" s="744"/>
      <c r="EI87" s="744"/>
      <c r="EJ87" s="744"/>
      <c r="EK87" s="744"/>
      <c r="EL87" s="744"/>
      <c r="EM87" s="744"/>
      <c r="EN87" s="744"/>
      <c r="EO87" s="744"/>
      <c r="EP87" s="744"/>
      <c r="EQ87" s="744"/>
      <c r="ER87" s="744"/>
      <c r="ES87" s="744"/>
      <c r="ET87" s="744"/>
      <c r="EU87" s="744"/>
      <c r="EV87" s="744"/>
      <c r="EW87" s="744"/>
      <c r="EX87" s="744"/>
      <c r="EY87" s="744"/>
      <c r="EZ87" s="744"/>
      <c r="FA87" s="744"/>
      <c r="FB87" s="744"/>
      <c r="FC87" s="744"/>
      <c r="FD87" s="744"/>
      <c r="FE87" s="744"/>
      <c r="FF87" s="744"/>
      <c r="FG87" s="744"/>
      <c r="FH87" s="744"/>
      <c r="FI87" s="744"/>
      <c r="FJ87" s="744"/>
      <c r="FK87" s="744"/>
      <c r="FL87" s="744"/>
      <c r="FM87" s="744"/>
      <c r="FN87" s="744"/>
      <c r="FO87" s="744"/>
      <c r="FP87" s="744"/>
      <c r="FQ87" s="744"/>
      <c r="FR87" s="744"/>
      <c r="FS87" s="744"/>
      <c r="FT87" s="744"/>
      <c r="FU87" s="744"/>
      <c r="FV87" s="744"/>
      <c r="FW87" s="744"/>
      <c r="FX87" s="744"/>
      <c r="FY87" s="744"/>
      <c r="FZ87" s="744"/>
      <c r="GA87" s="744"/>
      <c r="GB87" s="744"/>
      <c r="GC87" s="744"/>
      <c r="GD87" s="744"/>
      <c r="GE87" s="744"/>
      <c r="GF87" s="744"/>
      <c r="GG87" s="744"/>
      <c r="GH87" s="744"/>
      <c r="GI87" s="744"/>
      <c r="GJ87" s="744"/>
      <c r="GK87" s="744"/>
      <c r="GL87" s="744"/>
      <c r="GM87" s="744"/>
      <c r="GN87" s="744"/>
      <c r="GO87" s="744"/>
      <c r="GP87" s="744"/>
      <c r="GQ87" s="744"/>
      <c r="GR87" s="744"/>
      <c r="GS87" s="744"/>
      <c r="GT87" s="744"/>
      <c r="GU87" s="744"/>
      <c r="GV87" s="744"/>
      <c r="GW87" s="744"/>
      <c r="GX87" s="744"/>
      <c r="GY87" s="744"/>
      <c r="GZ87" s="744"/>
      <c r="HA87" s="744"/>
      <c r="HB87" s="744"/>
      <c r="HC87" s="744"/>
      <c r="HD87" s="744"/>
      <c r="HE87" s="744"/>
      <c r="HF87" s="744"/>
      <c r="HG87" s="744"/>
      <c r="HH87" s="744"/>
      <c r="HI87" s="744"/>
      <c r="HJ87" s="744"/>
      <c r="HK87" s="744"/>
      <c r="HL87" s="744"/>
      <c r="HM87" s="744"/>
      <c r="HN87" s="744"/>
      <c r="HO87" s="744"/>
      <c r="HP87" s="744"/>
      <c r="HQ87" s="744"/>
      <c r="HR87" s="744"/>
      <c r="HS87" s="744"/>
      <c r="HT87" s="744"/>
      <c r="HU87" s="744"/>
      <c r="HV87" s="744"/>
      <c r="HW87" s="744"/>
      <c r="HX87" s="744"/>
      <c r="HY87" s="744"/>
      <c r="HZ87" s="744"/>
      <c r="IA87" s="744"/>
      <c r="IB87" s="744"/>
      <c r="IC87" s="744"/>
      <c r="ID87" s="744"/>
      <c r="IE87" s="744"/>
      <c r="IF87" s="744"/>
      <c r="IG87" s="744"/>
      <c r="IH87" s="744"/>
      <c r="II87" s="744"/>
      <c r="IJ87" s="744"/>
      <c r="IK87" s="744"/>
      <c r="IL87" s="744"/>
      <c r="IM87" s="744"/>
      <c r="IN87" s="744"/>
      <c r="IO87" s="744"/>
      <c r="IP87" s="744"/>
      <c r="IQ87" s="744"/>
      <c r="IR87" s="744"/>
      <c r="IS87" s="744"/>
    </row>
    <row r="88" s="653" customFormat="1" ht="15" spans="1:253">
      <c r="A88" s="709" t="s">
        <v>171</v>
      </c>
      <c r="B88" s="682" t="s">
        <v>172</v>
      </c>
      <c r="C88" s="732" t="s">
        <v>173</v>
      </c>
      <c r="D88" s="729" t="s">
        <v>95</v>
      </c>
      <c r="E88" s="733">
        <f>'PB VI - Memorial'!B141</f>
        <v>0.18</v>
      </c>
      <c r="F88" s="711">
        <v>11.92</v>
      </c>
      <c r="G88" s="711">
        <f t="shared" ref="G88" si="7">ROUND(E88*F88,2)</f>
        <v>2.15</v>
      </c>
      <c r="H88" s="724"/>
      <c r="I88" s="724"/>
      <c r="J88" s="724"/>
      <c r="K88" s="724"/>
      <c r="L88" s="742"/>
      <c r="M88" s="742"/>
      <c r="N88" s="743"/>
      <c r="O88" s="743"/>
      <c r="P88" s="743"/>
      <c r="Q88" s="743"/>
      <c r="R88" s="743"/>
      <c r="S88" s="743"/>
      <c r="T88" s="743"/>
      <c r="U88" s="743"/>
      <c r="V88" s="743"/>
      <c r="W88" s="743"/>
      <c r="X88" s="743"/>
      <c r="Y88" s="743"/>
      <c r="Z88" s="743"/>
      <c r="AA88" s="743"/>
      <c r="AB88" s="743"/>
      <c r="AC88" s="743"/>
      <c r="AD88" s="743"/>
      <c r="AE88" s="743"/>
      <c r="AF88" s="743"/>
      <c r="AG88" s="743"/>
      <c r="AH88" s="743"/>
      <c r="AI88" s="743"/>
      <c r="AJ88" s="743"/>
      <c r="AK88" s="743"/>
      <c r="AL88" s="743"/>
      <c r="AM88" s="743"/>
      <c r="AN88" s="743"/>
      <c r="AO88" s="743"/>
      <c r="AP88" s="743"/>
      <c r="AQ88" s="743"/>
      <c r="AR88" s="743"/>
      <c r="AS88" s="743"/>
      <c r="AT88" s="743"/>
      <c r="AU88" s="743"/>
      <c r="AV88" s="743"/>
      <c r="AW88" s="743"/>
      <c r="AX88" s="743"/>
      <c r="AY88" s="743"/>
      <c r="AZ88" s="743"/>
      <c r="BA88" s="743"/>
      <c r="BB88" s="743"/>
      <c r="BC88" s="743"/>
      <c r="BD88" s="743"/>
      <c r="BE88" s="743"/>
      <c r="BF88" s="743"/>
      <c r="BG88" s="743"/>
      <c r="BH88" s="743"/>
      <c r="BI88" s="743"/>
      <c r="BJ88" s="743"/>
      <c r="BK88" s="743"/>
      <c r="BL88" s="743"/>
      <c r="BM88" s="743"/>
      <c r="BN88" s="743"/>
      <c r="BO88" s="743"/>
      <c r="BP88" s="743"/>
      <c r="BQ88" s="743"/>
      <c r="BR88" s="743"/>
      <c r="BS88" s="743"/>
      <c r="BT88" s="743"/>
      <c r="BU88" s="743"/>
      <c r="BV88" s="743"/>
      <c r="BW88" s="743"/>
      <c r="BX88" s="743"/>
      <c r="BY88" s="743"/>
      <c r="BZ88" s="743"/>
      <c r="CA88" s="743"/>
      <c r="CB88" s="743"/>
      <c r="CC88" s="743"/>
      <c r="CD88" s="743"/>
      <c r="CE88" s="743"/>
      <c r="CF88" s="743"/>
      <c r="CG88" s="743"/>
      <c r="CH88" s="743"/>
      <c r="CI88" s="743"/>
      <c r="CJ88" s="743"/>
      <c r="CK88" s="743"/>
      <c r="CL88" s="743"/>
      <c r="CM88" s="743"/>
      <c r="CN88" s="743"/>
      <c r="CO88" s="743"/>
      <c r="CP88" s="743"/>
      <c r="CQ88" s="743"/>
      <c r="CR88" s="743"/>
      <c r="CS88" s="743"/>
      <c r="CT88" s="743"/>
      <c r="CU88" s="743"/>
      <c r="CV88" s="743"/>
      <c r="CW88" s="743"/>
      <c r="CX88" s="743"/>
      <c r="CY88" s="743"/>
      <c r="CZ88" s="743"/>
      <c r="DA88" s="743"/>
      <c r="DB88" s="743"/>
      <c r="DC88" s="743"/>
      <c r="DD88" s="743"/>
      <c r="DE88" s="743"/>
      <c r="DF88" s="743"/>
      <c r="DG88" s="743"/>
      <c r="DH88" s="743"/>
      <c r="DI88" s="743"/>
      <c r="DJ88" s="743"/>
      <c r="DK88" s="743"/>
      <c r="DL88" s="743"/>
      <c r="DM88" s="743"/>
      <c r="DN88" s="743"/>
      <c r="DO88" s="743"/>
      <c r="DP88" s="743"/>
      <c r="DQ88" s="743"/>
      <c r="DR88" s="743"/>
      <c r="DS88" s="743"/>
      <c r="DT88" s="743"/>
      <c r="DU88" s="743"/>
      <c r="DV88" s="743"/>
      <c r="DW88" s="743"/>
      <c r="DX88" s="743"/>
      <c r="DY88" s="743"/>
      <c r="DZ88" s="743"/>
      <c r="EA88" s="743"/>
      <c r="EB88" s="743"/>
      <c r="EC88" s="743"/>
      <c r="ED88" s="743"/>
      <c r="EE88" s="743"/>
      <c r="EF88" s="743"/>
      <c r="EG88" s="743"/>
      <c r="EH88" s="743"/>
      <c r="EI88" s="743"/>
      <c r="EJ88" s="743"/>
      <c r="EK88" s="743"/>
      <c r="EL88" s="743"/>
      <c r="EM88" s="743"/>
      <c r="EN88" s="743"/>
      <c r="EO88" s="743"/>
      <c r="EP88" s="743"/>
      <c r="EQ88" s="743"/>
      <c r="ER88" s="743"/>
      <c r="ES88" s="743"/>
      <c r="ET88" s="743"/>
      <c r="EU88" s="743"/>
      <c r="EV88" s="743"/>
      <c r="EW88" s="743"/>
      <c r="EX88" s="743"/>
      <c r="EY88" s="743"/>
      <c r="EZ88" s="743"/>
      <c r="FA88" s="743"/>
      <c r="FB88" s="743"/>
      <c r="FC88" s="743"/>
      <c r="FD88" s="743"/>
      <c r="FE88" s="743"/>
      <c r="FF88" s="743"/>
      <c r="FG88" s="743"/>
      <c r="FH88" s="743"/>
      <c r="FI88" s="743"/>
      <c r="FJ88" s="743"/>
      <c r="FK88" s="743"/>
      <c r="FL88" s="743"/>
      <c r="FM88" s="743"/>
      <c r="FN88" s="743"/>
      <c r="FO88" s="743"/>
      <c r="FP88" s="743"/>
      <c r="FQ88" s="743"/>
      <c r="FR88" s="743"/>
      <c r="FS88" s="743"/>
      <c r="FT88" s="743"/>
      <c r="FU88" s="743"/>
      <c r="FV88" s="743"/>
      <c r="FW88" s="743"/>
      <c r="FX88" s="743"/>
      <c r="FY88" s="743"/>
      <c r="FZ88" s="743"/>
      <c r="GA88" s="743"/>
      <c r="GB88" s="743"/>
      <c r="GC88" s="743"/>
      <c r="GD88" s="743"/>
      <c r="GE88" s="743"/>
      <c r="GF88" s="743"/>
      <c r="GG88" s="743"/>
      <c r="GH88" s="743"/>
      <c r="GI88" s="743"/>
      <c r="GJ88" s="743"/>
      <c r="GK88" s="743"/>
      <c r="GL88" s="743"/>
      <c r="GM88" s="743"/>
      <c r="GN88" s="743"/>
      <c r="GO88" s="743"/>
      <c r="GP88" s="743"/>
      <c r="GQ88" s="743"/>
      <c r="GR88" s="743"/>
      <c r="GS88" s="743"/>
      <c r="GT88" s="743"/>
      <c r="GU88" s="743"/>
      <c r="GV88" s="743"/>
      <c r="GW88" s="743"/>
      <c r="GX88" s="743"/>
      <c r="GY88" s="743"/>
      <c r="GZ88" s="743"/>
      <c r="HA88" s="743"/>
      <c r="HB88" s="743"/>
      <c r="HC88" s="743"/>
      <c r="HD88" s="743"/>
      <c r="HE88" s="743"/>
      <c r="HF88" s="743"/>
      <c r="HG88" s="743"/>
      <c r="HH88" s="743"/>
      <c r="HI88" s="743"/>
      <c r="HJ88" s="743"/>
      <c r="HK88" s="743"/>
      <c r="HL88" s="743"/>
      <c r="HM88" s="743"/>
      <c r="HN88" s="743"/>
      <c r="HO88" s="743"/>
      <c r="HP88" s="743"/>
      <c r="HQ88" s="743"/>
      <c r="HR88" s="743"/>
      <c r="HS88" s="743"/>
      <c r="HT88" s="743"/>
      <c r="HU88" s="743"/>
      <c r="HV88" s="743"/>
      <c r="HW88" s="743"/>
      <c r="HX88" s="743"/>
      <c r="HY88" s="743"/>
      <c r="HZ88" s="743"/>
      <c r="IA88" s="743"/>
      <c r="IB88" s="743"/>
      <c r="IC88" s="743"/>
      <c r="ID88" s="743"/>
      <c r="IE88" s="743"/>
      <c r="IF88" s="743"/>
      <c r="IG88" s="743"/>
      <c r="IH88" s="743"/>
      <c r="II88" s="743"/>
      <c r="IJ88" s="743"/>
      <c r="IK88" s="743"/>
      <c r="IL88" s="743"/>
      <c r="IM88" s="743"/>
      <c r="IN88" s="743"/>
      <c r="IO88" s="743"/>
      <c r="IP88" s="743"/>
      <c r="IQ88" s="743"/>
      <c r="IR88" s="743"/>
      <c r="IS88" s="743"/>
    </row>
    <row r="89" s="73" customFormat="1" ht="15" spans="1:253">
      <c r="A89" s="709" t="s">
        <v>174</v>
      </c>
      <c r="B89" s="682" t="s">
        <v>175</v>
      </c>
      <c r="C89" s="732" t="s">
        <v>176</v>
      </c>
      <c r="D89" s="729" t="s">
        <v>95</v>
      </c>
      <c r="E89" s="733">
        <f>'PB VI - Memorial'!C141</f>
        <v>290.27</v>
      </c>
      <c r="F89" s="711">
        <v>11.16</v>
      </c>
      <c r="G89" s="711">
        <f t="shared" si="6"/>
        <v>3239.41</v>
      </c>
      <c r="H89" s="724"/>
      <c r="I89" s="724"/>
      <c r="J89" s="724"/>
      <c r="K89" s="724"/>
      <c r="L89" s="724"/>
      <c r="M89" s="724"/>
      <c r="N89" s="741"/>
      <c r="O89" s="741"/>
      <c r="P89" s="741"/>
      <c r="Q89" s="741"/>
      <c r="R89" s="741"/>
      <c r="S89" s="741"/>
      <c r="T89" s="741"/>
      <c r="U89" s="741"/>
      <c r="V89" s="741"/>
      <c r="W89" s="741"/>
      <c r="X89" s="741"/>
      <c r="Y89" s="741"/>
      <c r="Z89" s="741"/>
      <c r="AA89" s="741"/>
      <c r="AB89" s="741"/>
      <c r="AC89" s="741"/>
      <c r="AD89" s="741"/>
      <c r="AE89" s="741"/>
      <c r="AF89" s="741"/>
      <c r="AG89" s="741"/>
      <c r="AH89" s="741"/>
      <c r="AI89" s="741"/>
      <c r="AJ89" s="741"/>
      <c r="AK89" s="741"/>
      <c r="AL89" s="741"/>
      <c r="AM89" s="741"/>
      <c r="AN89" s="741"/>
      <c r="AO89" s="741"/>
      <c r="AP89" s="741"/>
      <c r="AQ89" s="741"/>
      <c r="AR89" s="741"/>
      <c r="AS89" s="741"/>
      <c r="AT89" s="741"/>
      <c r="AU89" s="741"/>
      <c r="AV89" s="741"/>
      <c r="AW89" s="741"/>
      <c r="AX89" s="741"/>
      <c r="AY89" s="741"/>
      <c r="AZ89" s="741"/>
      <c r="BA89" s="741"/>
      <c r="BB89" s="741"/>
      <c r="BC89" s="741"/>
      <c r="BD89" s="741"/>
      <c r="BE89" s="741"/>
      <c r="BF89" s="741"/>
      <c r="BG89" s="741"/>
      <c r="BH89" s="741"/>
      <c r="BI89" s="741"/>
      <c r="BJ89" s="741"/>
      <c r="BK89" s="741"/>
      <c r="BL89" s="741"/>
      <c r="BM89" s="741"/>
      <c r="BN89" s="741"/>
      <c r="BO89" s="741"/>
      <c r="BP89" s="741"/>
      <c r="BQ89" s="741"/>
      <c r="BR89" s="741"/>
      <c r="BS89" s="741"/>
      <c r="BT89" s="741"/>
      <c r="BU89" s="741"/>
      <c r="BV89" s="741"/>
      <c r="BW89" s="744"/>
      <c r="BX89" s="744"/>
      <c r="BY89" s="744"/>
      <c r="BZ89" s="744"/>
      <c r="CA89" s="744"/>
      <c r="CB89" s="744"/>
      <c r="CC89" s="744"/>
      <c r="CD89" s="744"/>
      <c r="CE89" s="744"/>
      <c r="CF89" s="744"/>
      <c r="CG89" s="744"/>
      <c r="CH89" s="744"/>
      <c r="CI89" s="744"/>
      <c r="CJ89" s="744"/>
      <c r="CK89" s="744"/>
      <c r="CL89" s="744"/>
      <c r="CM89" s="744"/>
      <c r="CN89" s="744"/>
      <c r="CO89" s="744"/>
      <c r="CP89" s="744"/>
      <c r="CQ89" s="744"/>
      <c r="CR89" s="744"/>
      <c r="CS89" s="744"/>
      <c r="CT89" s="744"/>
      <c r="CU89" s="744"/>
      <c r="CV89" s="744"/>
      <c r="CW89" s="744"/>
      <c r="CX89" s="744"/>
      <c r="CY89" s="744"/>
      <c r="CZ89" s="744"/>
      <c r="DA89" s="744"/>
      <c r="DB89" s="744"/>
      <c r="DC89" s="744"/>
      <c r="DD89" s="744"/>
      <c r="DE89" s="744"/>
      <c r="DF89" s="744"/>
      <c r="DG89" s="744"/>
      <c r="DH89" s="744"/>
      <c r="DI89" s="744"/>
      <c r="DJ89" s="744"/>
      <c r="DK89" s="744"/>
      <c r="DL89" s="744"/>
      <c r="DM89" s="744"/>
      <c r="DN89" s="744"/>
      <c r="DO89" s="744"/>
      <c r="DP89" s="744"/>
      <c r="DQ89" s="744"/>
      <c r="DR89" s="744"/>
      <c r="DS89" s="744"/>
      <c r="DT89" s="744"/>
      <c r="DU89" s="744"/>
      <c r="DV89" s="744"/>
      <c r="DW89" s="744"/>
      <c r="DX89" s="744"/>
      <c r="DY89" s="744"/>
      <c r="DZ89" s="744"/>
      <c r="EA89" s="744"/>
      <c r="EB89" s="744"/>
      <c r="EC89" s="744"/>
      <c r="ED89" s="744"/>
      <c r="EE89" s="744"/>
      <c r="EF89" s="744"/>
      <c r="EG89" s="744"/>
      <c r="EH89" s="744"/>
      <c r="EI89" s="744"/>
      <c r="EJ89" s="744"/>
      <c r="EK89" s="744"/>
      <c r="EL89" s="744"/>
      <c r="EM89" s="744"/>
      <c r="EN89" s="744"/>
      <c r="EO89" s="744"/>
      <c r="EP89" s="744"/>
      <c r="EQ89" s="744"/>
      <c r="ER89" s="744"/>
      <c r="ES89" s="744"/>
      <c r="ET89" s="744"/>
      <c r="EU89" s="744"/>
      <c r="EV89" s="744"/>
      <c r="EW89" s="744"/>
      <c r="EX89" s="744"/>
      <c r="EY89" s="744"/>
      <c r="EZ89" s="744"/>
      <c r="FA89" s="744"/>
      <c r="FB89" s="744"/>
      <c r="FC89" s="744"/>
      <c r="FD89" s="744"/>
      <c r="FE89" s="744"/>
      <c r="FF89" s="744"/>
      <c r="FG89" s="744"/>
      <c r="FH89" s="744"/>
      <c r="FI89" s="744"/>
      <c r="FJ89" s="744"/>
      <c r="FK89" s="744"/>
      <c r="FL89" s="744"/>
      <c r="FM89" s="744"/>
      <c r="FN89" s="744"/>
      <c r="FO89" s="744"/>
      <c r="FP89" s="744"/>
      <c r="FQ89" s="744"/>
      <c r="FR89" s="744"/>
      <c r="FS89" s="744"/>
      <c r="FT89" s="744"/>
      <c r="FU89" s="744"/>
      <c r="FV89" s="744"/>
      <c r="FW89" s="744"/>
      <c r="FX89" s="744"/>
      <c r="FY89" s="744"/>
      <c r="FZ89" s="744"/>
      <c r="GA89" s="744"/>
      <c r="GB89" s="744"/>
      <c r="GC89" s="744"/>
      <c r="GD89" s="744"/>
      <c r="GE89" s="744"/>
      <c r="GF89" s="744"/>
      <c r="GG89" s="744"/>
      <c r="GH89" s="744"/>
      <c r="GI89" s="744"/>
      <c r="GJ89" s="744"/>
      <c r="GK89" s="744"/>
      <c r="GL89" s="744"/>
      <c r="GM89" s="744"/>
      <c r="GN89" s="744"/>
      <c r="GO89" s="744"/>
      <c r="GP89" s="744"/>
      <c r="GQ89" s="744"/>
      <c r="GR89" s="744"/>
      <c r="GS89" s="744"/>
      <c r="GT89" s="744"/>
      <c r="GU89" s="744"/>
      <c r="GV89" s="744"/>
      <c r="GW89" s="744"/>
      <c r="GX89" s="744"/>
      <c r="GY89" s="744"/>
      <c r="GZ89" s="744"/>
      <c r="HA89" s="744"/>
      <c r="HB89" s="744"/>
      <c r="HC89" s="744"/>
      <c r="HD89" s="744"/>
      <c r="HE89" s="744"/>
      <c r="HF89" s="744"/>
      <c r="HG89" s="744"/>
      <c r="HH89" s="744"/>
      <c r="HI89" s="744"/>
      <c r="HJ89" s="744"/>
      <c r="HK89" s="744"/>
      <c r="HL89" s="744"/>
      <c r="HM89" s="744"/>
      <c r="HN89" s="744"/>
      <c r="HO89" s="744"/>
      <c r="HP89" s="744"/>
      <c r="HQ89" s="744"/>
      <c r="HR89" s="744"/>
      <c r="HS89" s="744"/>
      <c r="HT89" s="744"/>
      <c r="HU89" s="744"/>
      <c r="HV89" s="744"/>
      <c r="HW89" s="744"/>
      <c r="HX89" s="744"/>
      <c r="HY89" s="744"/>
      <c r="HZ89" s="744"/>
      <c r="IA89" s="744"/>
      <c r="IB89" s="744"/>
      <c r="IC89" s="744"/>
      <c r="ID89" s="744"/>
      <c r="IE89" s="744"/>
      <c r="IF89" s="744"/>
      <c r="IG89" s="744"/>
      <c r="IH89" s="744"/>
      <c r="II89" s="744"/>
      <c r="IJ89" s="744"/>
      <c r="IK89" s="744"/>
      <c r="IL89" s="744"/>
      <c r="IM89" s="744"/>
      <c r="IN89" s="744"/>
      <c r="IO89" s="744"/>
      <c r="IP89" s="744"/>
      <c r="IQ89" s="744"/>
      <c r="IR89" s="744"/>
      <c r="IS89" s="744"/>
    </row>
    <row r="90" s="73" customFormat="1" ht="15" spans="1:253">
      <c r="A90" s="709" t="s">
        <v>177</v>
      </c>
      <c r="B90" s="682" t="s">
        <v>178</v>
      </c>
      <c r="C90" s="732" t="s">
        <v>179</v>
      </c>
      <c r="D90" s="729" t="s">
        <v>95</v>
      </c>
      <c r="E90" s="733">
        <f>'PB VI - Memorial'!D141</f>
        <v>20</v>
      </c>
      <c r="F90" s="711">
        <v>8.97</v>
      </c>
      <c r="G90" s="711">
        <f t="shared" si="6"/>
        <v>179.4</v>
      </c>
      <c r="H90" s="724"/>
      <c r="I90" s="724"/>
      <c r="J90" s="724"/>
      <c r="K90" s="724"/>
      <c r="L90" s="724"/>
      <c r="M90" s="724"/>
      <c r="N90" s="741"/>
      <c r="O90" s="741"/>
      <c r="P90" s="741"/>
      <c r="Q90" s="741"/>
      <c r="R90" s="741"/>
      <c r="S90" s="741"/>
      <c r="T90" s="741"/>
      <c r="U90" s="741"/>
      <c r="V90" s="741"/>
      <c r="W90" s="741"/>
      <c r="X90" s="741"/>
      <c r="Y90" s="741"/>
      <c r="Z90" s="741"/>
      <c r="AA90" s="741"/>
      <c r="AB90" s="741"/>
      <c r="AC90" s="741"/>
      <c r="AD90" s="741"/>
      <c r="AE90" s="741"/>
      <c r="AF90" s="741"/>
      <c r="AG90" s="741"/>
      <c r="AH90" s="741"/>
      <c r="AI90" s="741"/>
      <c r="AJ90" s="741"/>
      <c r="AK90" s="741"/>
      <c r="AL90" s="741"/>
      <c r="AM90" s="741"/>
      <c r="AN90" s="741"/>
      <c r="AO90" s="741"/>
      <c r="AP90" s="741"/>
      <c r="AQ90" s="741"/>
      <c r="AR90" s="741"/>
      <c r="AS90" s="741"/>
      <c r="AT90" s="741"/>
      <c r="AU90" s="741"/>
      <c r="AV90" s="741"/>
      <c r="AW90" s="741"/>
      <c r="AX90" s="741"/>
      <c r="AY90" s="741"/>
      <c r="AZ90" s="741"/>
      <c r="BA90" s="741"/>
      <c r="BB90" s="741"/>
      <c r="BC90" s="741"/>
      <c r="BD90" s="741"/>
      <c r="BE90" s="741"/>
      <c r="BF90" s="741"/>
      <c r="BG90" s="741"/>
      <c r="BH90" s="741"/>
      <c r="BI90" s="741"/>
      <c r="BJ90" s="741"/>
      <c r="BK90" s="741"/>
      <c r="BL90" s="741"/>
      <c r="BM90" s="741"/>
      <c r="BN90" s="741"/>
      <c r="BO90" s="741"/>
      <c r="BP90" s="741"/>
      <c r="BQ90" s="741"/>
      <c r="BR90" s="741"/>
      <c r="BS90" s="741"/>
      <c r="BT90" s="741"/>
      <c r="BU90" s="741"/>
      <c r="BV90" s="741"/>
      <c r="BW90" s="744"/>
      <c r="BX90" s="744"/>
      <c r="BY90" s="744"/>
      <c r="BZ90" s="744"/>
      <c r="CA90" s="744"/>
      <c r="CB90" s="744"/>
      <c r="CC90" s="744"/>
      <c r="CD90" s="744"/>
      <c r="CE90" s="744"/>
      <c r="CF90" s="744"/>
      <c r="CG90" s="744"/>
      <c r="CH90" s="744"/>
      <c r="CI90" s="744"/>
      <c r="CJ90" s="744"/>
      <c r="CK90" s="744"/>
      <c r="CL90" s="744"/>
      <c r="CM90" s="744"/>
      <c r="CN90" s="744"/>
      <c r="CO90" s="744"/>
      <c r="CP90" s="744"/>
      <c r="CQ90" s="744"/>
      <c r="CR90" s="744"/>
      <c r="CS90" s="744"/>
      <c r="CT90" s="744"/>
      <c r="CU90" s="744"/>
      <c r="CV90" s="744"/>
      <c r="CW90" s="744"/>
      <c r="CX90" s="744"/>
      <c r="CY90" s="744"/>
      <c r="CZ90" s="744"/>
      <c r="DA90" s="744"/>
      <c r="DB90" s="744"/>
      <c r="DC90" s="744"/>
      <c r="DD90" s="744"/>
      <c r="DE90" s="744"/>
      <c r="DF90" s="744"/>
      <c r="DG90" s="744"/>
      <c r="DH90" s="744"/>
      <c r="DI90" s="744"/>
      <c r="DJ90" s="744"/>
      <c r="DK90" s="744"/>
      <c r="DL90" s="744"/>
      <c r="DM90" s="744"/>
      <c r="DN90" s="744"/>
      <c r="DO90" s="744"/>
      <c r="DP90" s="744"/>
      <c r="DQ90" s="744"/>
      <c r="DR90" s="744"/>
      <c r="DS90" s="744"/>
      <c r="DT90" s="744"/>
      <c r="DU90" s="744"/>
      <c r="DV90" s="744"/>
      <c r="DW90" s="744"/>
      <c r="DX90" s="744"/>
      <c r="DY90" s="744"/>
      <c r="DZ90" s="744"/>
      <c r="EA90" s="744"/>
      <c r="EB90" s="744"/>
      <c r="EC90" s="744"/>
      <c r="ED90" s="744"/>
      <c r="EE90" s="744"/>
      <c r="EF90" s="744"/>
      <c r="EG90" s="744"/>
      <c r="EH90" s="744"/>
      <c r="EI90" s="744"/>
      <c r="EJ90" s="744"/>
      <c r="EK90" s="744"/>
      <c r="EL90" s="744"/>
      <c r="EM90" s="744"/>
      <c r="EN90" s="744"/>
      <c r="EO90" s="744"/>
      <c r="EP90" s="744"/>
      <c r="EQ90" s="744"/>
      <c r="ER90" s="744"/>
      <c r="ES90" s="744"/>
      <c r="ET90" s="744"/>
      <c r="EU90" s="744"/>
      <c r="EV90" s="744"/>
      <c r="EW90" s="744"/>
      <c r="EX90" s="744"/>
      <c r="EY90" s="744"/>
      <c r="EZ90" s="744"/>
      <c r="FA90" s="744"/>
      <c r="FB90" s="744"/>
      <c r="FC90" s="744"/>
      <c r="FD90" s="744"/>
      <c r="FE90" s="744"/>
      <c r="FF90" s="744"/>
      <c r="FG90" s="744"/>
      <c r="FH90" s="744"/>
      <c r="FI90" s="744"/>
      <c r="FJ90" s="744"/>
      <c r="FK90" s="744"/>
      <c r="FL90" s="744"/>
      <c r="FM90" s="744"/>
      <c r="FN90" s="744"/>
      <c r="FO90" s="744"/>
      <c r="FP90" s="744"/>
      <c r="FQ90" s="744"/>
      <c r="FR90" s="744"/>
      <c r="FS90" s="744"/>
      <c r="FT90" s="744"/>
      <c r="FU90" s="744"/>
      <c r="FV90" s="744"/>
      <c r="FW90" s="744"/>
      <c r="FX90" s="744"/>
      <c r="FY90" s="744"/>
      <c r="FZ90" s="744"/>
      <c r="GA90" s="744"/>
      <c r="GB90" s="744"/>
      <c r="GC90" s="744"/>
      <c r="GD90" s="744"/>
      <c r="GE90" s="744"/>
      <c r="GF90" s="744"/>
      <c r="GG90" s="744"/>
      <c r="GH90" s="744"/>
      <c r="GI90" s="744"/>
      <c r="GJ90" s="744"/>
      <c r="GK90" s="744"/>
      <c r="GL90" s="744"/>
      <c r="GM90" s="744"/>
      <c r="GN90" s="744"/>
      <c r="GO90" s="744"/>
      <c r="GP90" s="744"/>
      <c r="GQ90" s="744"/>
      <c r="GR90" s="744"/>
      <c r="GS90" s="744"/>
      <c r="GT90" s="744"/>
      <c r="GU90" s="744"/>
      <c r="GV90" s="744"/>
      <c r="GW90" s="744"/>
      <c r="GX90" s="744"/>
      <c r="GY90" s="744"/>
      <c r="GZ90" s="744"/>
      <c r="HA90" s="744"/>
      <c r="HB90" s="744"/>
      <c r="HC90" s="744"/>
      <c r="HD90" s="744"/>
      <c r="HE90" s="744"/>
      <c r="HF90" s="744"/>
      <c r="HG90" s="744"/>
      <c r="HH90" s="744"/>
      <c r="HI90" s="744"/>
      <c r="HJ90" s="744"/>
      <c r="HK90" s="744"/>
      <c r="HL90" s="744"/>
      <c r="HM90" s="744"/>
      <c r="HN90" s="744"/>
      <c r="HO90" s="744"/>
      <c r="HP90" s="744"/>
      <c r="HQ90" s="744"/>
      <c r="HR90" s="744"/>
      <c r="HS90" s="744"/>
      <c r="HT90" s="744"/>
      <c r="HU90" s="744"/>
      <c r="HV90" s="744"/>
      <c r="HW90" s="744"/>
      <c r="HX90" s="744"/>
      <c r="HY90" s="744"/>
      <c r="HZ90" s="744"/>
      <c r="IA90" s="744"/>
      <c r="IB90" s="744"/>
      <c r="IC90" s="744"/>
      <c r="ID90" s="744"/>
      <c r="IE90" s="744"/>
      <c r="IF90" s="744"/>
      <c r="IG90" s="744"/>
      <c r="IH90" s="744"/>
      <c r="II90" s="744"/>
      <c r="IJ90" s="744"/>
      <c r="IK90" s="744"/>
      <c r="IL90" s="744"/>
      <c r="IM90" s="744"/>
      <c r="IN90" s="744"/>
      <c r="IO90" s="744"/>
      <c r="IP90" s="744"/>
      <c r="IQ90" s="744"/>
      <c r="IR90" s="744"/>
      <c r="IS90" s="744"/>
    </row>
    <row r="91" s="73" customFormat="1" ht="15" spans="1:253">
      <c r="A91" s="709" t="s">
        <v>180</v>
      </c>
      <c r="B91" s="682" t="s">
        <v>181</v>
      </c>
      <c r="C91" s="732" t="s">
        <v>182</v>
      </c>
      <c r="D91" s="729" t="s">
        <v>95</v>
      </c>
      <c r="E91" s="711">
        <f>'PB VI - Memorial'!G141</f>
        <v>117.18</v>
      </c>
      <c r="F91" s="711">
        <v>13.31</v>
      </c>
      <c r="G91" s="711">
        <f t="shared" si="6"/>
        <v>1559.67</v>
      </c>
      <c r="H91" s="724"/>
      <c r="I91" s="724"/>
      <c r="J91" s="724"/>
      <c r="K91" s="724"/>
      <c r="L91" s="724"/>
      <c r="M91" s="724"/>
      <c r="N91" s="741"/>
      <c r="O91" s="741"/>
      <c r="P91" s="741"/>
      <c r="Q91" s="741"/>
      <c r="R91" s="741"/>
      <c r="S91" s="741"/>
      <c r="T91" s="741"/>
      <c r="U91" s="741"/>
      <c r="V91" s="741"/>
      <c r="W91" s="741"/>
      <c r="X91" s="741"/>
      <c r="Y91" s="741"/>
      <c r="Z91" s="741"/>
      <c r="AA91" s="741"/>
      <c r="AB91" s="741"/>
      <c r="AC91" s="741"/>
      <c r="AD91" s="741"/>
      <c r="AE91" s="741"/>
      <c r="AF91" s="741"/>
      <c r="AG91" s="741"/>
      <c r="AH91" s="741"/>
      <c r="AI91" s="741"/>
      <c r="AJ91" s="741"/>
      <c r="AK91" s="741"/>
      <c r="AL91" s="741"/>
      <c r="AM91" s="741"/>
      <c r="AN91" s="741"/>
      <c r="AO91" s="741"/>
      <c r="AP91" s="741"/>
      <c r="AQ91" s="741"/>
      <c r="AR91" s="741"/>
      <c r="AS91" s="741"/>
      <c r="AT91" s="741"/>
      <c r="AU91" s="741"/>
      <c r="AV91" s="741"/>
      <c r="AW91" s="741"/>
      <c r="AX91" s="741"/>
      <c r="AY91" s="741"/>
      <c r="AZ91" s="741"/>
      <c r="BA91" s="741"/>
      <c r="BB91" s="741"/>
      <c r="BC91" s="741"/>
      <c r="BD91" s="741"/>
      <c r="BE91" s="741"/>
      <c r="BF91" s="741"/>
      <c r="BG91" s="741"/>
      <c r="BH91" s="741"/>
      <c r="BI91" s="741"/>
      <c r="BJ91" s="741"/>
      <c r="BK91" s="741"/>
      <c r="BL91" s="741"/>
      <c r="BM91" s="741"/>
      <c r="BN91" s="741"/>
      <c r="BO91" s="741"/>
      <c r="BP91" s="741"/>
      <c r="BQ91" s="741"/>
      <c r="BR91" s="741"/>
      <c r="BS91" s="741"/>
      <c r="BT91" s="741"/>
      <c r="BU91" s="741"/>
      <c r="BV91" s="741"/>
      <c r="BW91" s="744"/>
      <c r="BX91" s="744"/>
      <c r="BY91" s="744"/>
      <c r="BZ91" s="744"/>
      <c r="CA91" s="744"/>
      <c r="CB91" s="744"/>
      <c r="CC91" s="744"/>
      <c r="CD91" s="744"/>
      <c r="CE91" s="744"/>
      <c r="CF91" s="744"/>
      <c r="CG91" s="744"/>
      <c r="CH91" s="744"/>
      <c r="CI91" s="744"/>
      <c r="CJ91" s="744"/>
      <c r="CK91" s="744"/>
      <c r="CL91" s="744"/>
      <c r="CM91" s="744"/>
      <c r="CN91" s="744"/>
      <c r="CO91" s="744"/>
      <c r="CP91" s="744"/>
      <c r="CQ91" s="744"/>
      <c r="CR91" s="744"/>
      <c r="CS91" s="744"/>
      <c r="CT91" s="744"/>
      <c r="CU91" s="744"/>
      <c r="CV91" s="744"/>
      <c r="CW91" s="744"/>
      <c r="CX91" s="744"/>
      <c r="CY91" s="744"/>
      <c r="CZ91" s="744"/>
      <c r="DA91" s="744"/>
      <c r="DB91" s="744"/>
      <c r="DC91" s="744"/>
      <c r="DD91" s="744"/>
      <c r="DE91" s="744"/>
      <c r="DF91" s="744"/>
      <c r="DG91" s="744"/>
      <c r="DH91" s="744"/>
      <c r="DI91" s="744"/>
      <c r="DJ91" s="744"/>
      <c r="DK91" s="744"/>
      <c r="DL91" s="744"/>
      <c r="DM91" s="744"/>
      <c r="DN91" s="744"/>
      <c r="DO91" s="744"/>
      <c r="DP91" s="744"/>
      <c r="DQ91" s="744"/>
      <c r="DR91" s="744"/>
      <c r="DS91" s="744"/>
      <c r="DT91" s="744"/>
      <c r="DU91" s="744"/>
      <c r="DV91" s="744"/>
      <c r="DW91" s="744"/>
      <c r="DX91" s="744"/>
      <c r="DY91" s="744"/>
      <c r="DZ91" s="744"/>
      <c r="EA91" s="744"/>
      <c r="EB91" s="744"/>
      <c r="EC91" s="744"/>
      <c r="ED91" s="744"/>
      <c r="EE91" s="744"/>
      <c r="EF91" s="744"/>
      <c r="EG91" s="744"/>
      <c r="EH91" s="744"/>
      <c r="EI91" s="744"/>
      <c r="EJ91" s="744"/>
      <c r="EK91" s="744"/>
      <c r="EL91" s="744"/>
      <c r="EM91" s="744"/>
      <c r="EN91" s="744"/>
      <c r="EO91" s="744"/>
      <c r="EP91" s="744"/>
      <c r="EQ91" s="744"/>
      <c r="ER91" s="744"/>
      <c r="ES91" s="744"/>
      <c r="ET91" s="744"/>
      <c r="EU91" s="744"/>
      <c r="EV91" s="744"/>
      <c r="EW91" s="744"/>
      <c r="EX91" s="744"/>
      <c r="EY91" s="744"/>
      <c r="EZ91" s="744"/>
      <c r="FA91" s="744"/>
      <c r="FB91" s="744"/>
      <c r="FC91" s="744"/>
      <c r="FD91" s="744"/>
      <c r="FE91" s="744"/>
      <c r="FF91" s="744"/>
      <c r="FG91" s="744"/>
      <c r="FH91" s="744"/>
      <c r="FI91" s="744"/>
      <c r="FJ91" s="744"/>
      <c r="FK91" s="744"/>
      <c r="FL91" s="744"/>
      <c r="FM91" s="744"/>
      <c r="FN91" s="744"/>
      <c r="FO91" s="744"/>
      <c r="FP91" s="744"/>
      <c r="FQ91" s="744"/>
      <c r="FR91" s="744"/>
      <c r="FS91" s="744"/>
      <c r="FT91" s="744"/>
      <c r="FU91" s="744"/>
      <c r="FV91" s="744"/>
      <c r="FW91" s="744"/>
      <c r="FX91" s="744"/>
      <c r="FY91" s="744"/>
      <c r="FZ91" s="744"/>
      <c r="GA91" s="744"/>
      <c r="GB91" s="744"/>
      <c r="GC91" s="744"/>
      <c r="GD91" s="744"/>
      <c r="GE91" s="744"/>
      <c r="GF91" s="744"/>
      <c r="GG91" s="744"/>
      <c r="GH91" s="744"/>
      <c r="GI91" s="744"/>
      <c r="GJ91" s="744"/>
      <c r="GK91" s="744"/>
      <c r="GL91" s="744"/>
      <c r="GM91" s="744"/>
      <c r="GN91" s="744"/>
      <c r="GO91" s="744"/>
      <c r="GP91" s="744"/>
      <c r="GQ91" s="744"/>
      <c r="GR91" s="744"/>
      <c r="GS91" s="744"/>
      <c r="GT91" s="744"/>
      <c r="GU91" s="744"/>
      <c r="GV91" s="744"/>
      <c r="GW91" s="744"/>
      <c r="GX91" s="744"/>
      <c r="GY91" s="744"/>
      <c r="GZ91" s="744"/>
      <c r="HA91" s="744"/>
      <c r="HB91" s="744"/>
      <c r="HC91" s="744"/>
      <c r="HD91" s="744"/>
      <c r="HE91" s="744"/>
      <c r="HF91" s="744"/>
      <c r="HG91" s="744"/>
      <c r="HH91" s="744"/>
      <c r="HI91" s="744"/>
      <c r="HJ91" s="744"/>
      <c r="HK91" s="744"/>
      <c r="HL91" s="744"/>
      <c r="HM91" s="744"/>
      <c r="HN91" s="744"/>
      <c r="HO91" s="744"/>
      <c r="HP91" s="744"/>
      <c r="HQ91" s="744"/>
      <c r="HR91" s="744"/>
      <c r="HS91" s="744"/>
      <c r="HT91" s="744"/>
      <c r="HU91" s="744"/>
      <c r="HV91" s="744"/>
      <c r="HW91" s="744"/>
      <c r="HX91" s="744"/>
      <c r="HY91" s="744"/>
      <c r="HZ91" s="744"/>
      <c r="IA91" s="744"/>
      <c r="IB91" s="744"/>
      <c r="IC91" s="744"/>
      <c r="ID91" s="744"/>
      <c r="IE91" s="744"/>
      <c r="IF91" s="744"/>
      <c r="IG91" s="744"/>
      <c r="IH91" s="744"/>
      <c r="II91" s="744"/>
      <c r="IJ91" s="744"/>
      <c r="IK91" s="744"/>
      <c r="IL91" s="744"/>
      <c r="IM91" s="744"/>
      <c r="IN91" s="744"/>
      <c r="IO91" s="744"/>
      <c r="IP91" s="744"/>
      <c r="IQ91" s="744"/>
      <c r="IR91" s="744"/>
      <c r="IS91" s="744"/>
    </row>
    <row r="92" s="73" customFormat="1" ht="22.5" spans="1:253">
      <c r="A92" s="709" t="s">
        <v>183</v>
      </c>
      <c r="B92" s="682" t="s">
        <v>184</v>
      </c>
      <c r="C92" s="732" t="s">
        <v>185</v>
      </c>
      <c r="D92" s="729" t="s">
        <v>17</v>
      </c>
      <c r="E92" s="711">
        <f>'PB VI - Memorial'!C139</f>
        <v>146.93</v>
      </c>
      <c r="F92" s="711">
        <v>8.67</v>
      </c>
      <c r="G92" s="711">
        <f t="shared" si="6"/>
        <v>1273.88</v>
      </c>
      <c r="H92" s="724"/>
      <c r="I92" s="724"/>
      <c r="J92" s="724"/>
      <c r="K92" s="724"/>
      <c r="L92" s="724"/>
      <c r="M92" s="724"/>
      <c r="N92" s="741"/>
      <c r="O92" s="741"/>
      <c r="P92" s="741"/>
      <c r="Q92" s="741"/>
      <c r="R92" s="741"/>
      <c r="S92" s="741"/>
      <c r="T92" s="741"/>
      <c r="U92" s="741"/>
      <c r="V92" s="741"/>
      <c r="W92" s="741"/>
      <c r="X92" s="741"/>
      <c r="Y92" s="741"/>
      <c r="Z92" s="741"/>
      <c r="AA92" s="741"/>
      <c r="AB92" s="741"/>
      <c r="AC92" s="741"/>
      <c r="AD92" s="741"/>
      <c r="AE92" s="741"/>
      <c r="AF92" s="741"/>
      <c r="AG92" s="741"/>
      <c r="AH92" s="741"/>
      <c r="AI92" s="741"/>
      <c r="AJ92" s="741"/>
      <c r="AK92" s="741"/>
      <c r="AL92" s="741"/>
      <c r="AM92" s="741"/>
      <c r="AN92" s="741"/>
      <c r="AO92" s="741"/>
      <c r="AP92" s="741"/>
      <c r="AQ92" s="741"/>
      <c r="AR92" s="741"/>
      <c r="AS92" s="741"/>
      <c r="AT92" s="741"/>
      <c r="AU92" s="741"/>
      <c r="AV92" s="741"/>
      <c r="AW92" s="741"/>
      <c r="AX92" s="741"/>
      <c r="AY92" s="741"/>
      <c r="AZ92" s="741"/>
      <c r="BA92" s="741"/>
      <c r="BB92" s="741"/>
      <c r="BC92" s="741"/>
      <c r="BD92" s="741"/>
      <c r="BE92" s="741"/>
      <c r="BF92" s="741"/>
      <c r="BG92" s="741"/>
      <c r="BH92" s="741"/>
      <c r="BI92" s="741"/>
      <c r="BJ92" s="741"/>
      <c r="BK92" s="741"/>
      <c r="BL92" s="741"/>
      <c r="BM92" s="741"/>
      <c r="BN92" s="741"/>
      <c r="BO92" s="741"/>
      <c r="BP92" s="741"/>
      <c r="BQ92" s="741"/>
      <c r="BR92" s="741"/>
      <c r="BS92" s="741"/>
      <c r="BT92" s="741"/>
      <c r="BU92" s="741"/>
      <c r="BV92" s="741"/>
      <c r="BW92" s="744"/>
      <c r="BX92" s="744"/>
      <c r="BY92" s="744"/>
      <c r="BZ92" s="744"/>
      <c r="CA92" s="744"/>
      <c r="CB92" s="744"/>
      <c r="CC92" s="744"/>
      <c r="CD92" s="744"/>
      <c r="CE92" s="744"/>
      <c r="CF92" s="744"/>
      <c r="CG92" s="744"/>
      <c r="CH92" s="744"/>
      <c r="CI92" s="744"/>
      <c r="CJ92" s="744"/>
      <c r="CK92" s="744"/>
      <c r="CL92" s="744"/>
      <c r="CM92" s="744"/>
      <c r="CN92" s="744"/>
      <c r="CO92" s="744"/>
      <c r="CP92" s="744"/>
      <c r="CQ92" s="744"/>
      <c r="CR92" s="744"/>
      <c r="CS92" s="744"/>
      <c r="CT92" s="744"/>
      <c r="CU92" s="744"/>
      <c r="CV92" s="744"/>
      <c r="CW92" s="744"/>
      <c r="CX92" s="744"/>
      <c r="CY92" s="744"/>
      <c r="CZ92" s="744"/>
      <c r="DA92" s="744"/>
      <c r="DB92" s="744"/>
      <c r="DC92" s="744"/>
      <c r="DD92" s="744"/>
      <c r="DE92" s="744"/>
      <c r="DF92" s="744"/>
      <c r="DG92" s="744"/>
      <c r="DH92" s="744"/>
      <c r="DI92" s="744"/>
      <c r="DJ92" s="744"/>
      <c r="DK92" s="744"/>
      <c r="DL92" s="744"/>
      <c r="DM92" s="744"/>
      <c r="DN92" s="744"/>
      <c r="DO92" s="744"/>
      <c r="DP92" s="744"/>
      <c r="DQ92" s="744"/>
      <c r="DR92" s="744"/>
      <c r="DS92" s="744"/>
      <c r="DT92" s="744"/>
      <c r="DU92" s="744"/>
      <c r="DV92" s="744"/>
      <c r="DW92" s="744"/>
      <c r="DX92" s="744"/>
      <c r="DY92" s="744"/>
      <c r="DZ92" s="744"/>
      <c r="EA92" s="744"/>
      <c r="EB92" s="744"/>
      <c r="EC92" s="744"/>
      <c r="ED92" s="744"/>
      <c r="EE92" s="744"/>
      <c r="EF92" s="744"/>
      <c r="EG92" s="744"/>
      <c r="EH92" s="744"/>
      <c r="EI92" s="744"/>
      <c r="EJ92" s="744"/>
      <c r="EK92" s="744"/>
      <c r="EL92" s="744"/>
      <c r="EM92" s="744"/>
      <c r="EN92" s="744"/>
      <c r="EO92" s="744"/>
      <c r="EP92" s="744"/>
      <c r="EQ92" s="744"/>
      <c r="ER92" s="744"/>
      <c r="ES92" s="744"/>
      <c r="ET92" s="744"/>
      <c r="EU92" s="744"/>
      <c r="EV92" s="744"/>
      <c r="EW92" s="744"/>
      <c r="EX92" s="744"/>
      <c r="EY92" s="744"/>
      <c r="EZ92" s="744"/>
      <c r="FA92" s="744"/>
      <c r="FB92" s="744"/>
      <c r="FC92" s="744"/>
      <c r="FD92" s="744"/>
      <c r="FE92" s="744"/>
      <c r="FF92" s="744"/>
      <c r="FG92" s="744"/>
      <c r="FH92" s="744"/>
      <c r="FI92" s="744"/>
      <c r="FJ92" s="744"/>
      <c r="FK92" s="744"/>
      <c r="FL92" s="744"/>
      <c r="FM92" s="744"/>
      <c r="FN92" s="744"/>
      <c r="FO92" s="744"/>
      <c r="FP92" s="744"/>
      <c r="FQ92" s="744"/>
      <c r="FR92" s="744"/>
      <c r="FS92" s="744"/>
      <c r="FT92" s="744"/>
      <c r="FU92" s="744"/>
      <c r="FV92" s="744"/>
      <c r="FW92" s="744"/>
      <c r="FX92" s="744"/>
      <c r="FY92" s="744"/>
      <c r="FZ92" s="744"/>
      <c r="GA92" s="744"/>
      <c r="GB92" s="744"/>
      <c r="GC92" s="744"/>
      <c r="GD92" s="744"/>
      <c r="GE92" s="744"/>
      <c r="GF92" s="744"/>
      <c r="GG92" s="744"/>
      <c r="GH92" s="744"/>
      <c r="GI92" s="744"/>
      <c r="GJ92" s="744"/>
      <c r="GK92" s="744"/>
      <c r="GL92" s="744"/>
      <c r="GM92" s="744"/>
      <c r="GN92" s="744"/>
      <c r="GO92" s="744"/>
      <c r="GP92" s="744"/>
      <c r="GQ92" s="744"/>
      <c r="GR92" s="744"/>
      <c r="GS92" s="744"/>
      <c r="GT92" s="744"/>
      <c r="GU92" s="744"/>
      <c r="GV92" s="744"/>
      <c r="GW92" s="744"/>
      <c r="GX92" s="744"/>
      <c r="GY92" s="744"/>
      <c r="GZ92" s="744"/>
      <c r="HA92" s="744"/>
      <c r="HB92" s="744"/>
      <c r="HC92" s="744"/>
      <c r="HD92" s="744"/>
      <c r="HE92" s="744"/>
      <c r="HF92" s="744"/>
      <c r="HG92" s="744"/>
      <c r="HH92" s="744"/>
      <c r="HI92" s="744"/>
      <c r="HJ92" s="744"/>
      <c r="HK92" s="744"/>
      <c r="HL92" s="744"/>
      <c r="HM92" s="744"/>
      <c r="HN92" s="744"/>
      <c r="HO92" s="744"/>
      <c r="HP92" s="744"/>
      <c r="HQ92" s="744"/>
      <c r="HR92" s="744"/>
      <c r="HS92" s="744"/>
      <c r="HT92" s="744"/>
      <c r="HU92" s="744"/>
      <c r="HV92" s="744"/>
      <c r="HW92" s="744"/>
      <c r="HX92" s="744"/>
      <c r="HY92" s="744"/>
      <c r="HZ92" s="744"/>
      <c r="IA92" s="744"/>
      <c r="IB92" s="744"/>
      <c r="IC92" s="744"/>
      <c r="ID92" s="744"/>
      <c r="IE92" s="744"/>
      <c r="IF92" s="744"/>
      <c r="IG92" s="744"/>
      <c r="IH92" s="744"/>
      <c r="II92" s="744"/>
      <c r="IJ92" s="744"/>
      <c r="IK92" s="744"/>
      <c r="IL92" s="744"/>
      <c r="IM92" s="744"/>
      <c r="IN92" s="744"/>
      <c r="IO92" s="744"/>
      <c r="IP92" s="744"/>
      <c r="IQ92" s="744"/>
      <c r="IR92" s="744"/>
      <c r="IS92" s="744"/>
    </row>
    <row r="93" s="73" customFormat="1" ht="15" spans="1:253">
      <c r="A93" s="734"/>
      <c r="B93" s="737"/>
      <c r="C93" s="738" t="s">
        <v>186</v>
      </c>
      <c r="D93" s="739"/>
      <c r="E93" s="733"/>
      <c r="F93" s="711"/>
      <c r="G93" s="711"/>
      <c r="H93" s="724"/>
      <c r="I93" s="724"/>
      <c r="J93" s="724"/>
      <c r="K93" s="724"/>
      <c r="L93" s="724"/>
      <c r="M93" s="724"/>
      <c r="N93" s="741"/>
      <c r="O93" s="741"/>
      <c r="P93" s="741"/>
      <c r="Q93" s="741"/>
      <c r="R93" s="741"/>
      <c r="S93" s="741"/>
      <c r="T93" s="741"/>
      <c r="U93" s="741"/>
      <c r="V93" s="741"/>
      <c r="W93" s="741"/>
      <c r="X93" s="741"/>
      <c r="Y93" s="741"/>
      <c r="Z93" s="741"/>
      <c r="AA93" s="741"/>
      <c r="AB93" s="741"/>
      <c r="AC93" s="741"/>
      <c r="AD93" s="741"/>
      <c r="AE93" s="741"/>
      <c r="AF93" s="741"/>
      <c r="AG93" s="741"/>
      <c r="AH93" s="741"/>
      <c r="AI93" s="741"/>
      <c r="AJ93" s="741"/>
      <c r="AK93" s="741"/>
      <c r="AL93" s="741"/>
      <c r="AM93" s="741"/>
      <c r="AN93" s="741"/>
      <c r="AO93" s="741"/>
      <c r="AP93" s="741"/>
      <c r="AQ93" s="741"/>
      <c r="AR93" s="741"/>
      <c r="AS93" s="741"/>
      <c r="AT93" s="741"/>
      <c r="AU93" s="741"/>
      <c r="AV93" s="741"/>
      <c r="AW93" s="741"/>
      <c r="AX93" s="741"/>
      <c r="AY93" s="741"/>
      <c r="AZ93" s="741"/>
      <c r="BA93" s="741"/>
      <c r="BB93" s="741"/>
      <c r="BC93" s="741"/>
      <c r="BD93" s="741"/>
      <c r="BE93" s="741"/>
      <c r="BF93" s="741"/>
      <c r="BG93" s="741"/>
      <c r="BH93" s="741"/>
      <c r="BI93" s="741"/>
      <c r="BJ93" s="741"/>
      <c r="BK93" s="741"/>
      <c r="BL93" s="741"/>
      <c r="BM93" s="741"/>
      <c r="BN93" s="741"/>
      <c r="BO93" s="741"/>
      <c r="BP93" s="741"/>
      <c r="BQ93" s="741"/>
      <c r="BR93" s="741"/>
      <c r="BS93" s="741"/>
      <c r="BT93" s="741"/>
      <c r="BU93" s="741"/>
      <c r="BV93" s="741"/>
      <c r="BW93" s="744"/>
      <c r="BX93" s="744"/>
      <c r="BY93" s="744"/>
      <c r="BZ93" s="744"/>
      <c r="CA93" s="744"/>
      <c r="CB93" s="744"/>
      <c r="CC93" s="744"/>
      <c r="CD93" s="744"/>
      <c r="CE93" s="744"/>
      <c r="CF93" s="744"/>
      <c r="CG93" s="744"/>
      <c r="CH93" s="744"/>
      <c r="CI93" s="744"/>
      <c r="CJ93" s="744"/>
      <c r="CK93" s="744"/>
      <c r="CL93" s="744"/>
      <c r="CM93" s="744"/>
      <c r="CN93" s="744"/>
      <c r="CO93" s="744"/>
      <c r="CP93" s="744"/>
      <c r="CQ93" s="744"/>
      <c r="CR93" s="744"/>
      <c r="CS93" s="744"/>
      <c r="CT93" s="744"/>
      <c r="CU93" s="744"/>
      <c r="CV93" s="744"/>
      <c r="CW93" s="744"/>
      <c r="CX93" s="744"/>
      <c r="CY93" s="744"/>
      <c r="CZ93" s="744"/>
      <c r="DA93" s="744"/>
      <c r="DB93" s="744"/>
      <c r="DC93" s="744"/>
      <c r="DD93" s="744"/>
      <c r="DE93" s="744"/>
      <c r="DF93" s="744"/>
      <c r="DG93" s="744"/>
      <c r="DH93" s="744"/>
      <c r="DI93" s="744"/>
      <c r="DJ93" s="744"/>
      <c r="DK93" s="744"/>
      <c r="DL93" s="744"/>
      <c r="DM93" s="744"/>
      <c r="DN93" s="744"/>
      <c r="DO93" s="744"/>
      <c r="DP93" s="744"/>
      <c r="DQ93" s="744"/>
      <c r="DR93" s="744"/>
      <c r="DS93" s="744"/>
      <c r="DT93" s="744"/>
      <c r="DU93" s="744"/>
      <c r="DV93" s="744"/>
      <c r="DW93" s="744"/>
      <c r="DX93" s="744"/>
      <c r="DY93" s="744"/>
      <c r="DZ93" s="744"/>
      <c r="EA93" s="744"/>
      <c r="EB93" s="744"/>
      <c r="EC93" s="744"/>
      <c r="ED93" s="744"/>
      <c r="EE93" s="744"/>
      <c r="EF93" s="744"/>
      <c r="EG93" s="744"/>
      <c r="EH93" s="744"/>
      <c r="EI93" s="744"/>
      <c r="EJ93" s="744"/>
      <c r="EK93" s="744"/>
      <c r="EL93" s="744"/>
      <c r="EM93" s="744"/>
      <c r="EN93" s="744"/>
      <c r="EO93" s="744"/>
      <c r="EP93" s="744"/>
      <c r="EQ93" s="744"/>
      <c r="ER93" s="744"/>
      <c r="ES93" s="744"/>
      <c r="ET93" s="744"/>
      <c r="EU93" s="744"/>
      <c r="EV93" s="744"/>
      <c r="EW93" s="744"/>
      <c r="EX93" s="744"/>
      <c r="EY93" s="744"/>
      <c r="EZ93" s="744"/>
      <c r="FA93" s="744"/>
      <c r="FB93" s="744"/>
      <c r="FC93" s="744"/>
      <c r="FD93" s="744"/>
      <c r="FE93" s="744"/>
      <c r="FF93" s="744"/>
      <c r="FG93" s="744"/>
      <c r="FH93" s="744"/>
      <c r="FI93" s="744"/>
      <c r="FJ93" s="744"/>
      <c r="FK93" s="744"/>
      <c r="FL93" s="744"/>
      <c r="FM93" s="744"/>
      <c r="FN93" s="744"/>
      <c r="FO93" s="744"/>
      <c r="FP93" s="744"/>
      <c r="FQ93" s="744"/>
      <c r="FR93" s="744"/>
      <c r="FS93" s="744"/>
      <c r="FT93" s="744"/>
      <c r="FU93" s="744"/>
      <c r="FV93" s="744"/>
      <c r="FW93" s="744"/>
      <c r="FX93" s="744"/>
      <c r="FY93" s="744"/>
      <c r="FZ93" s="744"/>
      <c r="GA93" s="744"/>
      <c r="GB93" s="744"/>
      <c r="GC93" s="744"/>
      <c r="GD93" s="744"/>
      <c r="GE93" s="744"/>
      <c r="GF93" s="744"/>
      <c r="GG93" s="744"/>
      <c r="GH93" s="744"/>
      <c r="GI93" s="744"/>
      <c r="GJ93" s="744"/>
      <c r="GK93" s="744"/>
      <c r="GL93" s="744"/>
      <c r="GM93" s="744"/>
      <c r="GN93" s="744"/>
      <c r="GO93" s="744"/>
      <c r="GP93" s="744"/>
      <c r="GQ93" s="744"/>
      <c r="GR93" s="744"/>
      <c r="GS93" s="744"/>
      <c r="GT93" s="744"/>
      <c r="GU93" s="744"/>
      <c r="GV93" s="744"/>
      <c r="GW93" s="744"/>
      <c r="GX93" s="744"/>
      <c r="GY93" s="744"/>
      <c r="GZ93" s="744"/>
      <c r="HA93" s="744"/>
      <c r="HB93" s="744"/>
      <c r="HC93" s="744"/>
      <c r="HD93" s="744"/>
      <c r="HE93" s="744"/>
      <c r="HF93" s="744"/>
      <c r="HG93" s="744"/>
      <c r="HH93" s="744"/>
      <c r="HI93" s="744"/>
      <c r="HJ93" s="744"/>
      <c r="HK93" s="744"/>
      <c r="HL93" s="744"/>
      <c r="HM93" s="744"/>
      <c r="HN93" s="744"/>
      <c r="HO93" s="744"/>
      <c r="HP93" s="744"/>
      <c r="HQ93" s="744"/>
      <c r="HR93" s="744"/>
      <c r="HS93" s="744"/>
      <c r="HT93" s="744"/>
      <c r="HU93" s="744"/>
      <c r="HV93" s="744"/>
      <c r="HW93" s="744"/>
      <c r="HX93" s="744"/>
      <c r="HY93" s="744"/>
      <c r="HZ93" s="744"/>
      <c r="IA93" s="744"/>
      <c r="IB93" s="744"/>
      <c r="IC93" s="744"/>
      <c r="ID93" s="744"/>
      <c r="IE93" s="744"/>
      <c r="IF93" s="744"/>
      <c r="IG93" s="744"/>
      <c r="IH93" s="744"/>
      <c r="II93" s="744"/>
      <c r="IJ93" s="744"/>
      <c r="IK93" s="744"/>
      <c r="IL93" s="744"/>
      <c r="IM93" s="744"/>
      <c r="IN93" s="744"/>
      <c r="IO93" s="744"/>
      <c r="IP93" s="744"/>
      <c r="IQ93" s="744"/>
      <c r="IR93" s="744"/>
      <c r="IS93" s="744"/>
    </row>
    <row r="94" s="73" customFormat="1" ht="15" spans="1:253">
      <c r="A94" s="734"/>
      <c r="B94" s="735" t="s">
        <v>187</v>
      </c>
      <c r="C94" s="736" t="s">
        <v>188</v>
      </c>
      <c r="D94" s="729"/>
      <c r="E94" s="733"/>
      <c r="F94" s="711"/>
      <c r="G94" s="711"/>
      <c r="H94" s="724"/>
      <c r="I94" s="724"/>
      <c r="J94" s="724"/>
      <c r="K94" s="724"/>
      <c r="L94" s="724"/>
      <c r="M94" s="724"/>
      <c r="N94" s="741"/>
      <c r="O94" s="741"/>
      <c r="P94" s="741"/>
      <c r="Q94" s="741"/>
      <c r="R94" s="741"/>
      <c r="S94" s="741"/>
      <c r="T94" s="741"/>
      <c r="U94" s="741"/>
      <c r="V94" s="741"/>
      <c r="W94" s="741"/>
      <c r="X94" s="741"/>
      <c r="Y94" s="741"/>
      <c r="Z94" s="741"/>
      <c r="AA94" s="741"/>
      <c r="AB94" s="741"/>
      <c r="AC94" s="741"/>
      <c r="AD94" s="741"/>
      <c r="AE94" s="741"/>
      <c r="AF94" s="741"/>
      <c r="AG94" s="741"/>
      <c r="AH94" s="741"/>
      <c r="AI94" s="741"/>
      <c r="AJ94" s="741"/>
      <c r="AK94" s="741"/>
      <c r="AL94" s="741"/>
      <c r="AM94" s="741"/>
      <c r="AN94" s="741"/>
      <c r="AO94" s="741"/>
      <c r="AP94" s="741"/>
      <c r="AQ94" s="741"/>
      <c r="AR94" s="741"/>
      <c r="AS94" s="741"/>
      <c r="AT94" s="741"/>
      <c r="AU94" s="741"/>
      <c r="AV94" s="741"/>
      <c r="AW94" s="741"/>
      <c r="AX94" s="741"/>
      <c r="AY94" s="741"/>
      <c r="AZ94" s="741"/>
      <c r="BA94" s="741"/>
      <c r="BB94" s="741"/>
      <c r="BC94" s="741"/>
      <c r="BD94" s="741"/>
      <c r="BE94" s="741"/>
      <c r="BF94" s="741"/>
      <c r="BG94" s="741"/>
      <c r="BH94" s="741"/>
      <c r="BI94" s="741"/>
      <c r="BJ94" s="741"/>
      <c r="BK94" s="741"/>
      <c r="BL94" s="741"/>
      <c r="BM94" s="741"/>
      <c r="BN94" s="741"/>
      <c r="BO94" s="741"/>
      <c r="BP94" s="741"/>
      <c r="BQ94" s="741"/>
      <c r="BR94" s="741"/>
      <c r="BS94" s="741"/>
      <c r="BT94" s="741"/>
      <c r="BU94" s="741"/>
      <c r="BV94" s="741"/>
      <c r="BW94" s="744"/>
      <c r="BX94" s="744"/>
      <c r="BY94" s="744"/>
      <c r="BZ94" s="744"/>
      <c r="CA94" s="744"/>
      <c r="CB94" s="744"/>
      <c r="CC94" s="744"/>
      <c r="CD94" s="744"/>
      <c r="CE94" s="744"/>
      <c r="CF94" s="744"/>
      <c r="CG94" s="744"/>
      <c r="CH94" s="744"/>
      <c r="CI94" s="744"/>
      <c r="CJ94" s="744"/>
      <c r="CK94" s="744"/>
      <c r="CL94" s="744"/>
      <c r="CM94" s="744"/>
      <c r="CN94" s="744"/>
      <c r="CO94" s="744"/>
      <c r="CP94" s="744"/>
      <c r="CQ94" s="744"/>
      <c r="CR94" s="744"/>
      <c r="CS94" s="744"/>
      <c r="CT94" s="744"/>
      <c r="CU94" s="744"/>
      <c r="CV94" s="744"/>
      <c r="CW94" s="744"/>
      <c r="CX94" s="744"/>
      <c r="CY94" s="744"/>
      <c r="CZ94" s="744"/>
      <c r="DA94" s="744"/>
      <c r="DB94" s="744"/>
      <c r="DC94" s="744"/>
      <c r="DD94" s="744"/>
      <c r="DE94" s="744"/>
      <c r="DF94" s="744"/>
      <c r="DG94" s="744"/>
      <c r="DH94" s="744"/>
      <c r="DI94" s="744"/>
      <c r="DJ94" s="744"/>
      <c r="DK94" s="744"/>
      <c r="DL94" s="744"/>
      <c r="DM94" s="744"/>
      <c r="DN94" s="744"/>
      <c r="DO94" s="744"/>
      <c r="DP94" s="744"/>
      <c r="DQ94" s="744"/>
      <c r="DR94" s="744"/>
      <c r="DS94" s="744"/>
      <c r="DT94" s="744"/>
      <c r="DU94" s="744"/>
      <c r="DV94" s="744"/>
      <c r="DW94" s="744"/>
      <c r="DX94" s="744"/>
      <c r="DY94" s="744"/>
      <c r="DZ94" s="744"/>
      <c r="EA94" s="744"/>
      <c r="EB94" s="744"/>
      <c r="EC94" s="744"/>
      <c r="ED94" s="744"/>
      <c r="EE94" s="744"/>
      <c r="EF94" s="744"/>
      <c r="EG94" s="744"/>
      <c r="EH94" s="744"/>
      <c r="EI94" s="744"/>
      <c r="EJ94" s="744"/>
      <c r="EK94" s="744"/>
      <c r="EL94" s="744"/>
      <c r="EM94" s="744"/>
      <c r="EN94" s="744"/>
      <c r="EO94" s="744"/>
      <c r="EP94" s="744"/>
      <c r="EQ94" s="744"/>
      <c r="ER94" s="744"/>
      <c r="ES94" s="744"/>
      <c r="ET94" s="744"/>
      <c r="EU94" s="744"/>
      <c r="EV94" s="744"/>
      <c r="EW94" s="744"/>
      <c r="EX94" s="744"/>
      <c r="EY94" s="744"/>
      <c r="EZ94" s="744"/>
      <c r="FA94" s="744"/>
      <c r="FB94" s="744"/>
      <c r="FC94" s="744"/>
      <c r="FD94" s="744"/>
      <c r="FE94" s="744"/>
      <c r="FF94" s="744"/>
      <c r="FG94" s="744"/>
      <c r="FH94" s="744"/>
      <c r="FI94" s="744"/>
      <c r="FJ94" s="744"/>
      <c r="FK94" s="744"/>
      <c r="FL94" s="744"/>
      <c r="FM94" s="744"/>
      <c r="FN94" s="744"/>
      <c r="FO94" s="744"/>
      <c r="FP94" s="744"/>
      <c r="FQ94" s="744"/>
      <c r="FR94" s="744"/>
      <c r="FS94" s="744"/>
      <c r="FT94" s="744"/>
      <c r="FU94" s="744"/>
      <c r="FV94" s="744"/>
      <c r="FW94" s="744"/>
      <c r="FX94" s="744"/>
      <c r="FY94" s="744"/>
      <c r="FZ94" s="744"/>
      <c r="GA94" s="744"/>
      <c r="GB94" s="744"/>
      <c r="GC94" s="744"/>
      <c r="GD94" s="744"/>
      <c r="GE94" s="744"/>
      <c r="GF94" s="744"/>
      <c r="GG94" s="744"/>
      <c r="GH94" s="744"/>
      <c r="GI94" s="744"/>
      <c r="GJ94" s="744"/>
      <c r="GK94" s="744"/>
      <c r="GL94" s="744"/>
      <c r="GM94" s="744"/>
      <c r="GN94" s="744"/>
      <c r="GO94" s="744"/>
      <c r="GP94" s="744"/>
      <c r="GQ94" s="744"/>
      <c r="GR94" s="744"/>
      <c r="GS94" s="744"/>
      <c r="GT94" s="744"/>
      <c r="GU94" s="744"/>
      <c r="GV94" s="744"/>
      <c r="GW94" s="744"/>
      <c r="GX94" s="744"/>
      <c r="GY94" s="744"/>
      <c r="GZ94" s="744"/>
      <c r="HA94" s="744"/>
      <c r="HB94" s="744"/>
      <c r="HC94" s="744"/>
      <c r="HD94" s="744"/>
      <c r="HE94" s="744"/>
      <c r="HF94" s="744"/>
      <c r="HG94" s="744"/>
      <c r="HH94" s="744"/>
      <c r="HI94" s="744"/>
      <c r="HJ94" s="744"/>
      <c r="HK94" s="744"/>
      <c r="HL94" s="744"/>
      <c r="HM94" s="744"/>
      <c r="HN94" s="744"/>
      <c r="HO94" s="744"/>
      <c r="HP94" s="744"/>
      <c r="HQ94" s="744"/>
      <c r="HR94" s="744"/>
      <c r="HS94" s="744"/>
      <c r="HT94" s="744"/>
      <c r="HU94" s="744"/>
      <c r="HV94" s="744"/>
      <c r="HW94" s="744"/>
      <c r="HX94" s="744"/>
      <c r="HY94" s="744"/>
      <c r="HZ94" s="744"/>
      <c r="IA94" s="744"/>
      <c r="IB94" s="744"/>
      <c r="IC94" s="744"/>
      <c r="ID94" s="744"/>
      <c r="IE94" s="744"/>
      <c r="IF94" s="744"/>
      <c r="IG94" s="744"/>
      <c r="IH94" s="744"/>
      <c r="II94" s="744"/>
      <c r="IJ94" s="744"/>
      <c r="IK94" s="744"/>
      <c r="IL94" s="744"/>
      <c r="IM94" s="744"/>
      <c r="IN94" s="744"/>
      <c r="IO94" s="744"/>
      <c r="IP94" s="744"/>
      <c r="IQ94" s="744"/>
      <c r="IR94" s="744"/>
      <c r="IS94" s="744"/>
    </row>
    <row r="95" s="73" customFormat="1" ht="15" spans="1:253">
      <c r="A95" s="709" t="s">
        <v>139</v>
      </c>
      <c r="B95" s="682" t="s">
        <v>189</v>
      </c>
      <c r="C95" s="732" t="s">
        <v>167</v>
      </c>
      <c r="D95" s="729" t="s">
        <v>56</v>
      </c>
      <c r="E95" s="733">
        <f>'PB VI - Memorial'!B139</f>
        <v>9.08</v>
      </c>
      <c r="F95" s="711">
        <f>F85</f>
        <v>393.85</v>
      </c>
      <c r="G95" s="711">
        <f t="shared" si="6"/>
        <v>3576.16</v>
      </c>
      <c r="H95" s="724"/>
      <c r="I95" s="724"/>
      <c r="J95" s="724"/>
      <c r="K95" s="724"/>
      <c r="L95" s="724"/>
      <c r="M95" s="724"/>
      <c r="N95" s="741"/>
      <c r="O95" s="741"/>
      <c r="P95" s="741"/>
      <c r="Q95" s="741"/>
      <c r="R95" s="741"/>
      <c r="S95" s="741"/>
      <c r="T95" s="741"/>
      <c r="U95" s="741"/>
      <c r="V95" s="741"/>
      <c r="W95" s="741"/>
      <c r="X95" s="741"/>
      <c r="Y95" s="741"/>
      <c r="Z95" s="741"/>
      <c r="AA95" s="741"/>
      <c r="AB95" s="741"/>
      <c r="AC95" s="741"/>
      <c r="AD95" s="741"/>
      <c r="AE95" s="741"/>
      <c r="AF95" s="741"/>
      <c r="AG95" s="741"/>
      <c r="AH95" s="741"/>
      <c r="AI95" s="741"/>
      <c r="AJ95" s="741"/>
      <c r="AK95" s="741"/>
      <c r="AL95" s="741"/>
      <c r="AM95" s="741"/>
      <c r="AN95" s="741"/>
      <c r="AO95" s="741"/>
      <c r="AP95" s="741"/>
      <c r="AQ95" s="741"/>
      <c r="AR95" s="741"/>
      <c r="AS95" s="741"/>
      <c r="AT95" s="741"/>
      <c r="AU95" s="741"/>
      <c r="AV95" s="741"/>
      <c r="AW95" s="741"/>
      <c r="AX95" s="741"/>
      <c r="AY95" s="741"/>
      <c r="AZ95" s="741"/>
      <c r="BA95" s="741"/>
      <c r="BB95" s="741"/>
      <c r="BC95" s="741"/>
      <c r="BD95" s="741"/>
      <c r="BE95" s="741"/>
      <c r="BF95" s="741"/>
      <c r="BG95" s="741"/>
      <c r="BH95" s="741"/>
      <c r="BI95" s="741"/>
      <c r="BJ95" s="741"/>
      <c r="BK95" s="741"/>
      <c r="BL95" s="741"/>
      <c r="BM95" s="741"/>
      <c r="BN95" s="741"/>
      <c r="BO95" s="741"/>
      <c r="BP95" s="741"/>
      <c r="BQ95" s="741"/>
      <c r="BR95" s="741"/>
      <c r="BS95" s="741"/>
      <c r="BT95" s="741"/>
      <c r="BU95" s="741"/>
      <c r="BV95" s="741"/>
      <c r="BW95" s="744"/>
      <c r="BX95" s="744"/>
      <c r="BY95" s="744"/>
      <c r="BZ95" s="744"/>
      <c r="CA95" s="744"/>
      <c r="CB95" s="744"/>
      <c r="CC95" s="744"/>
      <c r="CD95" s="744"/>
      <c r="CE95" s="744"/>
      <c r="CF95" s="744"/>
      <c r="CG95" s="744"/>
      <c r="CH95" s="744"/>
      <c r="CI95" s="744"/>
      <c r="CJ95" s="744"/>
      <c r="CK95" s="744"/>
      <c r="CL95" s="744"/>
      <c r="CM95" s="744"/>
      <c r="CN95" s="744"/>
      <c r="CO95" s="744"/>
      <c r="CP95" s="744"/>
      <c r="CQ95" s="744"/>
      <c r="CR95" s="744"/>
      <c r="CS95" s="744"/>
      <c r="CT95" s="744"/>
      <c r="CU95" s="744"/>
      <c r="CV95" s="744"/>
      <c r="CW95" s="744"/>
      <c r="CX95" s="744"/>
      <c r="CY95" s="744"/>
      <c r="CZ95" s="744"/>
      <c r="DA95" s="744"/>
      <c r="DB95" s="744"/>
      <c r="DC95" s="744"/>
      <c r="DD95" s="744"/>
      <c r="DE95" s="744"/>
      <c r="DF95" s="744"/>
      <c r="DG95" s="744"/>
      <c r="DH95" s="744"/>
      <c r="DI95" s="744"/>
      <c r="DJ95" s="744"/>
      <c r="DK95" s="744"/>
      <c r="DL95" s="744"/>
      <c r="DM95" s="744"/>
      <c r="DN95" s="744"/>
      <c r="DO95" s="744"/>
      <c r="DP95" s="744"/>
      <c r="DQ95" s="744"/>
      <c r="DR95" s="744"/>
      <c r="DS95" s="744"/>
      <c r="DT95" s="744"/>
      <c r="DU95" s="744"/>
      <c r="DV95" s="744"/>
      <c r="DW95" s="744"/>
      <c r="DX95" s="744"/>
      <c r="DY95" s="744"/>
      <c r="DZ95" s="744"/>
      <c r="EA95" s="744"/>
      <c r="EB95" s="744"/>
      <c r="EC95" s="744"/>
      <c r="ED95" s="744"/>
      <c r="EE95" s="744"/>
      <c r="EF95" s="744"/>
      <c r="EG95" s="744"/>
      <c r="EH95" s="744"/>
      <c r="EI95" s="744"/>
      <c r="EJ95" s="744"/>
      <c r="EK95" s="744"/>
      <c r="EL95" s="744"/>
      <c r="EM95" s="744"/>
      <c r="EN95" s="744"/>
      <c r="EO95" s="744"/>
      <c r="EP95" s="744"/>
      <c r="EQ95" s="744"/>
      <c r="ER95" s="744"/>
      <c r="ES95" s="744"/>
      <c r="ET95" s="744"/>
      <c r="EU95" s="744"/>
      <c r="EV95" s="744"/>
      <c r="EW95" s="744"/>
      <c r="EX95" s="744"/>
      <c r="EY95" s="744"/>
      <c r="EZ95" s="744"/>
      <c r="FA95" s="744"/>
      <c r="FB95" s="744"/>
      <c r="FC95" s="744"/>
      <c r="FD95" s="744"/>
      <c r="FE95" s="744"/>
      <c r="FF95" s="744"/>
      <c r="FG95" s="744"/>
      <c r="FH95" s="744"/>
      <c r="FI95" s="744"/>
      <c r="FJ95" s="744"/>
      <c r="FK95" s="744"/>
      <c r="FL95" s="744"/>
      <c r="FM95" s="744"/>
      <c r="FN95" s="744"/>
      <c r="FO95" s="744"/>
      <c r="FP95" s="744"/>
      <c r="FQ95" s="744"/>
      <c r="FR95" s="744"/>
      <c r="FS95" s="744"/>
      <c r="FT95" s="744"/>
      <c r="FU95" s="744"/>
      <c r="FV95" s="744"/>
      <c r="FW95" s="744"/>
      <c r="FX95" s="744"/>
      <c r="FY95" s="744"/>
      <c r="FZ95" s="744"/>
      <c r="GA95" s="744"/>
      <c r="GB95" s="744"/>
      <c r="GC95" s="744"/>
      <c r="GD95" s="744"/>
      <c r="GE95" s="744"/>
      <c r="GF95" s="744"/>
      <c r="GG95" s="744"/>
      <c r="GH95" s="744"/>
      <c r="GI95" s="744"/>
      <c r="GJ95" s="744"/>
      <c r="GK95" s="744"/>
      <c r="GL95" s="744"/>
      <c r="GM95" s="744"/>
      <c r="GN95" s="744"/>
      <c r="GO95" s="744"/>
      <c r="GP95" s="744"/>
      <c r="GQ95" s="744"/>
      <c r="GR95" s="744"/>
      <c r="GS95" s="744"/>
      <c r="GT95" s="744"/>
      <c r="GU95" s="744"/>
      <c r="GV95" s="744"/>
      <c r="GW95" s="744"/>
      <c r="GX95" s="744"/>
      <c r="GY95" s="744"/>
      <c r="GZ95" s="744"/>
      <c r="HA95" s="744"/>
      <c r="HB95" s="744"/>
      <c r="HC95" s="744"/>
      <c r="HD95" s="744"/>
      <c r="HE95" s="744"/>
      <c r="HF95" s="744"/>
      <c r="HG95" s="744"/>
      <c r="HH95" s="744"/>
      <c r="HI95" s="744"/>
      <c r="HJ95" s="744"/>
      <c r="HK95" s="744"/>
      <c r="HL95" s="744"/>
      <c r="HM95" s="744"/>
      <c r="HN95" s="744"/>
      <c r="HO95" s="744"/>
      <c r="HP95" s="744"/>
      <c r="HQ95" s="744"/>
      <c r="HR95" s="744"/>
      <c r="HS95" s="744"/>
      <c r="HT95" s="744"/>
      <c r="HU95" s="744"/>
      <c r="HV95" s="744"/>
      <c r="HW95" s="744"/>
      <c r="HX95" s="744"/>
      <c r="HY95" s="744"/>
      <c r="HZ95" s="744"/>
      <c r="IA95" s="744"/>
      <c r="IB95" s="744"/>
      <c r="IC95" s="744"/>
      <c r="ID95" s="744"/>
      <c r="IE95" s="744"/>
      <c r="IF95" s="744"/>
      <c r="IG95" s="744"/>
      <c r="IH95" s="744"/>
      <c r="II95" s="744"/>
      <c r="IJ95" s="744"/>
      <c r="IK95" s="744"/>
      <c r="IL95" s="744"/>
      <c r="IM95" s="744"/>
      <c r="IN95" s="744"/>
      <c r="IO95" s="744"/>
      <c r="IP95" s="744"/>
      <c r="IQ95" s="744"/>
      <c r="IR95" s="744"/>
      <c r="IS95" s="744"/>
    </row>
    <row r="96" s="73" customFormat="1" ht="15" spans="1:253">
      <c r="A96" s="709" t="s">
        <v>90</v>
      </c>
      <c r="B96" s="682" t="s">
        <v>190</v>
      </c>
      <c r="C96" s="732" t="s">
        <v>143</v>
      </c>
      <c r="D96" s="729" t="s">
        <v>56</v>
      </c>
      <c r="E96" s="733">
        <f>E95</f>
        <v>9.08</v>
      </c>
      <c r="F96" s="711">
        <f>F86</f>
        <v>143.94</v>
      </c>
      <c r="G96" s="711">
        <f t="shared" si="6"/>
        <v>1306.98</v>
      </c>
      <c r="H96" s="724"/>
      <c r="I96" s="724"/>
      <c r="J96" s="724"/>
      <c r="K96" s="724"/>
      <c r="L96" s="724"/>
      <c r="M96" s="724"/>
      <c r="N96" s="741"/>
      <c r="O96" s="741"/>
      <c r="P96" s="741"/>
      <c r="Q96" s="741"/>
      <c r="R96" s="741"/>
      <c r="S96" s="741"/>
      <c r="T96" s="741"/>
      <c r="U96" s="741"/>
      <c r="V96" s="741"/>
      <c r="W96" s="741"/>
      <c r="X96" s="741"/>
      <c r="Y96" s="741"/>
      <c r="Z96" s="741"/>
      <c r="AA96" s="741"/>
      <c r="AB96" s="741"/>
      <c r="AC96" s="741"/>
      <c r="AD96" s="741"/>
      <c r="AE96" s="741"/>
      <c r="AF96" s="741"/>
      <c r="AG96" s="741"/>
      <c r="AH96" s="741"/>
      <c r="AI96" s="741"/>
      <c r="AJ96" s="741"/>
      <c r="AK96" s="741"/>
      <c r="AL96" s="741"/>
      <c r="AM96" s="741"/>
      <c r="AN96" s="741"/>
      <c r="AO96" s="741"/>
      <c r="AP96" s="741"/>
      <c r="AQ96" s="741"/>
      <c r="AR96" s="741"/>
      <c r="AS96" s="741"/>
      <c r="AT96" s="741"/>
      <c r="AU96" s="741"/>
      <c r="AV96" s="741"/>
      <c r="AW96" s="741"/>
      <c r="AX96" s="741"/>
      <c r="AY96" s="741"/>
      <c r="AZ96" s="741"/>
      <c r="BA96" s="741"/>
      <c r="BB96" s="741"/>
      <c r="BC96" s="741"/>
      <c r="BD96" s="741"/>
      <c r="BE96" s="741"/>
      <c r="BF96" s="741"/>
      <c r="BG96" s="741"/>
      <c r="BH96" s="741"/>
      <c r="BI96" s="741"/>
      <c r="BJ96" s="741"/>
      <c r="BK96" s="741"/>
      <c r="BL96" s="741"/>
      <c r="BM96" s="741"/>
      <c r="BN96" s="741"/>
      <c r="BO96" s="741"/>
      <c r="BP96" s="741"/>
      <c r="BQ96" s="741"/>
      <c r="BR96" s="741"/>
      <c r="BS96" s="741"/>
      <c r="BT96" s="741"/>
      <c r="BU96" s="741"/>
      <c r="BV96" s="741"/>
      <c r="BW96" s="744"/>
      <c r="BX96" s="744"/>
      <c r="BY96" s="744"/>
      <c r="BZ96" s="744"/>
      <c r="CA96" s="744"/>
      <c r="CB96" s="744"/>
      <c r="CC96" s="744"/>
      <c r="CD96" s="744"/>
      <c r="CE96" s="744"/>
      <c r="CF96" s="744"/>
      <c r="CG96" s="744"/>
      <c r="CH96" s="744"/>
      <c r="CI96" s="744"/>
      <c r="CJ96" s="744"/>
      <c r="CK96" s="744"/>
      <c r="CL96" s="744"/>
      <c r="CM96" s="744"/>
      <c r="CN96" s="744"/>
      <c r="CO96" s="744"/>
      <c r="CP96" s="744"/>
      <c r="CQ96" s="744"/>
      <c r="CR96" s="744"/>
      <c r="CS96" s="744"/>
      <c r="CT96" s="744"/>
      <c r="CU96" s="744"/>
      <c r="CV96" s="744"/>
      <c r="CW96" s="744"/>
      <c r="CX96" s="744"/>
      <c r="CY96" s="744"/>
      <c r="CZ96" s="744"/>
      <c r="DA96" s="744"/>
      <c r="DB96" s="744"/>
      <c r="DC96" s="744"/>
      <c r="DD96" s="744"/>
      <c r="DE96" s="744"/>
      <c r="DF96" s="744"/>
      <c r="DG96" s="744"/>
      <c r="DH96" s="744"/>
      <c r="DI96" s="744"/>
      <c r="DJ96" s="744"/>
      <c r="DK96" s="744"/>
      <c r="DL96" s="744"/>
      <c r="DM96" s="744"/>
      <c r="DN96" s="744"/>
      <c r="DO96" s="744"/>
      <c r="DP96" s="744"/>
      <c r="DQ96" s="744"/>
      <c r="DR96" s="744"/>
      <c r="DS96" s="744"/>
      <c r="DT96" s="744"/>
      <c r="DU96" s="744"/>
      <c r="DV96" s="744"/>
      <c r="DW96" s="744"/>
      <c r="DX96" s="744"/>
      <c r="DY96" s="744"/>
      <c r="DZ96" s="744"/>
      <c r="EA96" s="744"/>
      <c r="EB96" s="744"/>
      <c r="EC96" s="744"/>
      <c r="ED96" s="744"/>
      <c r="EE96" s="744"/>
      <c r="EF96" s="744"/>
      <c r="EG96" s="744"/>
      <c r="EH96" s="744"/>
      <c r="EI96" s="744"/>
      <c r="EJ96" s="744"/>
      <c r="EK96" s="744"/>
      <c r="EL96" s="744"/>
      <c r="EM96" s="744"/>
      <c r="EN96" s="744"/>
      <c r="EO96" s="744"/>
      <c r="EP96" s="744"/>
      <c r="EQ96" s="744"/>
      <c r="ER96" s="744"/>
      <c r="ES96" s="744"/>
      <c r="ET96" s="744"/>
      <c r="EU96" s="744"/>
      <c r="EV96" s="744"/>
      <c r="EW96" s="744"/>
      <c r="EX96" s="744"/>
      <c r="EY96" s="744"/>
      <c r="EZ96" s="744"/>
      <c r="FA96" s="744"/>
      <c r="FB96" s="744"/>
      <c r="FC96" s="744"/>
      <c r="FD96" s="744"/>
      <c r="FE96" s="744"/>
      <c r="FF96" s="744"/>
      <c r="FG96" s="744"/>
      <c r="FH96" s="744"/>
      <c r="FI96" s="744"/>
      <c r="FJ96" s="744"/>
      <c r="FK96" s="744"/>
      <c r="FL96" s="744"/>
      <c r="FM96" s="744"/>
      <c r="FN96" s="744"/>
      <c r="FO96" s="744"/>
      <c r="FP96" s="744"/>
      <c r="FQ96" s="744"/>
      <c r="FR96" s="744"/>
      <c r="FS96" s="744"/>
      <c r="FT96" s="744"/>
      <c r="FU96" s="744"/>
      <c r="FV96" s="744"/>
      <c r="FW96" s="744"/>
      <c r="FX96" s="744"/>
      <c r="FY96" s="744"/>
      <c r="FZ96" s="744"/>
      <c r="GA96" s="744"/>
      <c r="GB96" s="744"/>
      <c r="GC96" s="744"/>
      <c r="GD96" s="744"/>
      <c r="GE96" s="744"/>
      <c r="GF96" s="744"/>
      <c r="GG96" s="744"/>
      <c r="GH96" s="744"/>
      <c r="GI96" s="744"/>
      <c r="GJ96" s="744"/>
      <c r="GK96" s="744"/>
      <c r="GL96" s="744"/>
      <c r="GM96" s="744"/>
      <c r="GN96" s="744"/>
      <c r="GO96" s="744"/>
      <c r="GP96" s="744"/>
      <c r="GQ96" s="744"/>
      <c r="GR96" s="744"/>
      <c r="GS96" s="744"/>
      <c r="GT96" s="744"/>
      <c r="GU96" s="744"/>
      <c r="GV96" s="744"/>
      <c r="GW96" s="744"/>
      <c r="GX96" s="744"/>
      <c r="GY96" s="744"/>
      <c r="GZ96" s="744"/>
      <c r="HA96" s="744"/>
      <c r="HB96" s="744"/>
      <c r="HC96" s="744"/>
      <c r="HD96" s="744"/>
      <c r="HE96" s="744"/>
      <c r="HF96" s="744"/>
      <c r="HG96" s="744"/>
      <c r="HH96" s="744"/>
      <c r="HI96" s="744"/>
      <c r="HJ96" s="744"/>
      <c r="HK96" s="744"/>
      <c r="HL96" s="744"/>
      <c r="HM96" s="744"/>
      <c r="HN96" s="744"/>
      <c r="HO96" s="744"/>
      <c r="HP96" s="744"/>
      <c r="HQ96" s="744"/>
      <c r="HR96" s="744"/>
      <c r="HS96" s="744"/>
      <c r="HT96" s="744"/>
      <c r="HU96" s="744"/>
      <c r="HV96" s="744"/>
      <c r="HW96" s="744"/>
      <c r="HX96" s="744"/>
      <c r="HY96" s="744"/>
      <c r="HZ96" s="744"/>
      <c r="IA96" s="744"/>
      <c r="IB96" s="744"/>
      <c r="IC96" s="744"/>
      <c r="ID96" s="744"/>
      <c r="IE96" s="744"/>
      <c r="IF96" s="744"/>
      <c r="IG96" s="744"/>
      <c r="IH96" s="744"/>
      <c r="II96" s="744"/>
      <c r="IJ96" s="744"/>
      <c r="IK96" s="744"/>
      <c r="IL96" s="744"/>
      <c r="IM96" s="744"/>
      <c r="IN96" s="744"/>
      <c r="IO96" s="744"/>
      <c r="IP96" s="744"/>
      <c r="IQ96" s="744"/>
      <c r="IR96" s="744"/>
      <c r="IS96" s="744"/>
    </row>
    <row r="97" s="73" customFormat="1" ht="15" spans="1:253">
      <c r="A97" s="709" t="s">
        <v>191</v>
      </c>
      <c r="B97" s="682" t="s">
        <v>192</v>
      </c>
      <c r="C97" s="732" t="s">
        <v>193</v>
      </c>
      <c r="D97" s="729" t="s">
        <v>17</v>
      </c>
      <c r="E97" s="733">
        <f>'PB VI - Memorial'!C139</f>
        <v>146.93</v>
      </c>
      <c r="F97" s="711">
        <v>65.26</v>
      </c>
      <c r="G97" s="711">
        <f t="shared" si="6"/>
        <v>9588.65</v>
      </c>
      <c r="H97" s="724"/>
      <c r="I97" s="724"/>
      <c r="J97" s="724"/>
      <c r="K97" s="724"/>
      <c r="L97" s="724"/>
      <c r="M97" s="724"/>
      <c r="N97" s="741"/>
      <c r="O97" s="741"/>
      <c r="P97" s="741"/>
      <c r="Q97" s="741"/>
      <c r="R97" s="741"/>
      <c r="S97" s="741"/>
      <c r="T97" s="741"/>
      <c r="U97" s="741"/>
      <c r="V97" s="741"/>
      <c r="W97" s="741"/>
      <c r="X97" s="741"/>
      <c r="Y97" s="741"/>
      <c r="Z97" s="741"/>
      <c r="AA97" s="741"/>
      <c r="AB97" s="741"/>
      <c r="AC97" s="741"/>
      <c r="AD97" s="741"/>
      <c r="AE97" s="741"/>
      <c r="AF97" s="741"/>
      <c r="AG97" s="741"/>
      <c r="AH97" s="741"/>
      <c r="AI97" s="741"/>
      <c r="AJ97" s="741"/>
      <c r="AK97" s="741"/>
      <c r="AL97" s="741"/>
      <c r="AM97" s="741"/>
      <c r="AN97" s="741"/>
      <c r="AO97" s="741"/>
      <c r="AP97" s="741"/>
      <c r="AQ97" s="741"/>
      <c r="AR97" s="741"/>
      <c r="AS97" s="741"/>
      <c r="AT97" s="741"/>
      <c r="AU97" s="741"/>
      <c r="AV97" s="741"/>
      <c r="AW97" s="741"/>
      <c r="AX97" s="741"/>
      <c r="AY97" s="741"/>
      <c r="AZ97" s="741"/>
      <c r="BA97" s="741"/>
      <c r="BB97" s="741"/>
      <c r="BC97" s="741"/>
      <c r="BD97" s="741"/>
      <c r="BE97" s="741"/>
      <c r="BF97" s="741"/>
      <c r="BG97" s="741"/>
      <c r="BH97" s="741"/>
      <c r="BI97" s="741"/>
      <c r="BJ97" s="741"/>
      <c r="BK97" s="741"/>
      <c r="BL97" s="741"/>
      <c r="BM97" s="741"/>
      <c r="BN97" s="741"/>
      <c r="BO97" s="741"/>
      <c r="BP97" s="741"/>
      <c r="BQ97" s="741"/>
      <c r="BR97" s="741"/>
      <c r="BS97" s="741"/>
      <c r="BT97" s="741"/>
      <c r="BU97" s="741"/>
      <c r="BV97" s="741"/>
      <c r="BW97" s="744"/>
      <c r="BX97" s="744"/>
      <c r="BY97" s="744"/>
      <c r="BZ97" s="744"/>
      <c r="CA97" s="744"/>
      <c r="CB97" s="744"/>
      <c r="CC97" s="744"/>
      <c r="CD97" s="744"/>
      <c r="CE97" s="744"/>
      <c r="CF97" s="744"/>
      <c r="CG97" s="744"/>
      <c r="CH97" s="744"/>
      <c r="CI97" s="744"/>
      <c r="CJ97" s="744"/>
      <c r="CK97" s="744"/>
      <c r="CL97" s="744"/>
      <c r="CM97" s="744"/>
      <c r="CN97" s="744"/>
      <c r="CO97" s="744"/>
      <c r="CP97" s="744"/>
      <c r="CQ97" s="744"/>
      <c r="CR97" s="744"/>
      <c r="CS97" s="744"/>
      <c r="CT97" s="744"/>
      <c r="CU97" s="744"/>
      <c r="CV97" s="744"/>
      <c r="CW97" s="744"/>
      <c r="CX97" s="744"/>
      <c r="CY97" s="744"/>
      <c r="CZ97" s="744"/>
      <c r="DA97" s="744"/>
      <c r="DB97" s="744"/>
      <c r="DC97" s="744"/>
      <c r="DD97" s="744"/>
      <c r="DE97" s="744"/>
      <c r="DF97" s="744"/>
      <c r="DG97" s="744"/>
      <c r="DH97" s="744"/>
      <c r="DI97" s="744"/>
      <c r="DJ97" s="744"/>
      <c r="DK97" s="744"/>
      <c r="DL97" s="744"/>
      <c r="DM97" s="744"/>
      <c r="DN97" s="744"/>
      <c r="DO97" s="744"/>
      <c r="DP97" s="744"/>
      <c r="DQ97" s="744"/>
      <c r="DR97" s="744"/>
      <c r="DS97" s="744"/>
      <c r="DT97" s="744"/>
      <c r="DU97" s="744"/>
      <c r="DV97" s="744"/>
      <c r="DW97" s="744"/>
      <c r="DX97" s="744"/>
      <c r="DY97" s="744"/>
      <c r="DZ97" s="744"/>
      <c r="EA97" s="744"/>
      <c r="EB97" s="744"/>
      <c r="EC97" s="744"/>
      <c r="ED97" s="744"/>
      <c r="EE97" s="744"/>
      <c r="EF97" s="744"/>
      <c r="EG97" s="744"/>
      <c r="EH97" s="744"/>
      <c r="EI97" s="744"/>
      <c r="EJ97" s="744"/>
      <c r="EK97" s="744"/>
      <c r="EL97" s="744"/>
      <c r="EM97" s="744"/>
      <c r="EN97" s="744"/>
      <c r="EO97" s="744"/>
      <c r="EP97" s="744"/>
      <c r="EQ97" s="744"/>
      <c r="ER97" s="744"/>
      <c r="ES97" s="744"/>
      <c r="ET97" s="744"/>
      <c r="EU97" s="744"/>
      <c r="EV97" s="744"/>
      <c r="EW97" s="744"/>
      <c r="EX97" s="744"/>
      <c r="EY97" s="744"/>
      <c r="EZ97" s="744"/>
      <c r="FA97" s="744"/>
      <c r="FB97" s="744"/>
      <c r="FC97" s="744"/>
      <c r="FD97" s="744"/>
      <c r="FE97" s="744"/>
      <c r="FF97" s="744"/>
      <c r="FG97" s="744"/>
      <c r="FH97" s="744"/>
      <c r="FI97" s="744"/>
      <c r="FJ97" s="744"/>
      <c r="FK97" s="744"/>
      <c r="FL97" s="744"/>
      <c r="FM97" s="744"/>
      <c r="FN97" s="744"/>
      <c r="FO97" s="744"/>
      <c r="FP97" s="744"/>
      <c r="FQ97" s="744"/>
      <c r="FR97" s="744"/>
      <c r="FS97" s="744"/>
      <c r="FT97" s="744"/>
      <c r="FU97" s="744"/>
      <c r="FV97" s="744"/>
      <c r="FW97" s="744"/>
      <c r="FX97" s="744"/>
      <c r="FY97" s="744"/>
      <c r="FZ97" s="744"/>
      <c r="GA97" s="744"/>
      <c r="GB97" s="744"/>
      <c r="GC97" s="744"/>
      <c r="GD97" s="744"/>
      <c r="GE97" s="744"/>
      <c r="GF97" s="744"/>
      <c r="GG97" s="744"/>
      <c r="GH97" s="744"/>
      <c r="GI97" s="744"/>
      <c r="GJ97" s="744"/>
      <c r="GK97" s="744"/>
      <c r="GL97" s="744"/>
      <c r="GM97" s="744"/>
      <c r="GN97" s="744"/>
      <c r="GO97" s="744"/>
      <c r="GP97" s="744"/>
      <c r="GQ97" s="744"/>
      <c r="GR97" s="744"/>
      <c r="GS97" s="744"/>
      <c r="GT97" s="744"/>
      <c r="GU97" s="744"/>
      <c r="GV97" s="744"/>
      <c r="GW97" s="744"/>
      <c r="GX97" s="744"/>
      <c r="GY97" s="744"/>
      <c r="GZ97" s="744"/>
      <c r="HA97" s="744"/>
      <c r="HB97" s="744"/>
      <c r="HC97" s="744"/>
      <c r="HD97" s="744"/>
      <c r="HE97" s="744"/>
      <c r="HF97" s="744"/>
      <c r="HG97" s="744"/>
      <c r="HH97" s="744"/>
      <c r="HI97" s="744"/>
      <c r="HJ97" s="744"/>
      <c r="HK97" s="744"/>
      <c r="HL97" s="744"/>
      <c r="HM97" s="744"/>
      <c r="HN97" s="744"/>
      <c r="HO97" s="744"/>
      <c r="HP97" s="744"/>
      <c r="HQ97" s="744"/>
      <c r="HR97" s="744"/>
      <c r="HS97" s="744"/>
      <c r="HT97" s="744"/>
      <c r="HU97" s="744"/>
      <c r="HV97" s="744"/>
      <c r="HW97" s="744"/>
      <c r="HX97" s="744"/>
      <c r="HY97" s="744"/>
      <c r="HZ97" s="744"/>
      <c r="IA97" s="744"/>
      <c r="IB97" s="744"/>
      <c r="IC97" s="744"/>
      <c r="ID97" s="744"/>
      <c r="IE97" s="744"/>
      <c r="IF97" s="744"/>
      <c r="IG97" s="744"/>
      <c r="IH97" s="744"/>
      <c r="II97" s="744"/>
      <c r="IJ97" s="744"/>
      <c r="IK97" s="744"/>
      <c r="IL97" s="744"/>
      <c r="IM97" s="744"/>
      <c r="IN97" s="744"/>
      <c r="IO97" s="744"/>
      <c r="IP97" s="744"/>
      <c r="IQ97" s="744"/>
      <c r="IR97" s="744"/>
      <c r="IS97" s="744"/>
    </row>
    <row r="98" s="73" customFormat="1" ht="15" spans="1:253">
      <c r="A98" s="709" t="s">
        <v>177</v>
      </c>
      <c r="B98" s="682" t="s">
        <v>194</v>
      </c>
      <c r="C98" s="732" t="s">
        <v>195</v>
      </c>
      <c r="D98" s="729" t="s">
        <v>95</v>
      </c>
      <c r="E98" s="733">
        <f>'PB VI - Memorial'!D146</f>
        <v>394.36</v>
      </c>
      <c r="F98" s="711">
        <v>8.97</v>
      </c>
      <c r="G98" s="711">
        <f t="shared" si="6"/>
        <v>3537.41</v>
      </c>
      <c r="H98" s="724"/>
      <c r="I98" s="724"/>
      <c r="J98" s="724"/>
      <c r="K98" s="724"/>
      <c r="L98" s="724"/>
      <c r="M98" s="724"/>
      <c r="N98" s="741"/>
      <c r="O98" s="741"/>
      <c r="P98" s="741"/>
      <c r="Q98" s="741"/>
      <c r="R98" s="741"/>
      <c r="S98" s="741"/>
      <c r="T98" s="741"/>
      <c r="U98" s="741"/>
      <c r="V98" s="741"/>
      <c r="W98" s="741"/>
      <c r="X98" s="741"/>
      <c r="Y98" s="741"/>
      <c r="Z98" s="741"/>
      <c r="AA98" s="741"/>
      <c r="AB98" s="741"/>
      <c r="AC98" s="741"/>
      <c r="AD98" s="741"/>
      <c r="AE98" s="741"/>
      <c r="AF98" s="741"/>
      <c r="AG98" s="741"/>
      <c r="AH98" s="741"/>
      <c r="AI98" s="741"/>
      <c r="AJ98" s="741"/>
      <c r="AK98" s="741"/>
      <c r="AL98" s="741"/>
      <c r="AM98" s="741"/>
      <c r="AN98" s="741"/>
      <c r="AO98" s="741"/>
      <c r="AP98" s="741"/>
      <c r="AQ98" s="741"/>
      <c r="AR98" s="741"/>
      <c r="AS98" s="741"/>
      <c r="AT98" s="741"/>
      <c r="AU98" s="741"/>
      <c r="AV98" s="741"/>
      <c r="AW98" s="741"/>
      <c r="AX98" s="741"/>
      <c r="AY98" s="741"/>
      <c r="AZ98" s="741"/>
      <c r="BA98" s="741"/>
      <c r="BB98" s="741"/>
      <c r="BC98" s="741"/>
      <c r="BD98" s="741"/>
      <c r="BE98" s="741"/>
      <c r="BF98" s="741"/>
      <c r="BG98" s="741"/>
      <c r="BH98" s="741"/>
      <c r="BI98" s="741"/>
      <c r="BJ98" s="741"/>
      <c r="BK98" s="741"/>
      <c r="BL98" s="741"/>
      <c r="BM98" s="741"/>
      <c r="BN98" s="741"/>
      <c r="BO98" s="741"/>
      <c r="BP98" s="741"/>
      <c r="BQ98" s="741"/>
      <c r="BR98" s="741"/>
      <c r="BS98" s="741"/>
      <c r="BT98" s="741"/>
      <c r="BU98" s="741"/>
      <c r="BV98" s="741"/>
      <c r="BW98" s="744"/>
      <c r="BX98" s="744"/>
      <c r="BY98" s="744"/>
      <c r="BZ98" s="744"/>
      <c r="CA98" s="744"/>
      <c r="CB98" s="744"/>
      <c r="CC98" s="744"/>
      <c r="CD98" s="744"/>
      <c r="CE98" s="744"/>
      <c r="CF98" s="744"/>
      <c r="CG98" s="744"/>
      <c r="CH98" s="744"/>
      <c r="CI98" s="744"/>
      <c r="CJ98" s="744"/>
      <c r="CK98" s="744"/>
      <c r="CL98" s="744"/>
      <c r="CM98" s="744"/>
      <c r="CN98" s="744"/>
      <c r="CO98" s="744"/>
      <c r="CP98" s="744"/>
      <c r="CQ98" s="744"/>
      <c r="CR98" s="744"/>
      <c r="CS98" s="744"/>
      <c r="CT98" s="744"/>
      <c r="CU98" s="744"/>
      <c r="CV98" s="744"/>
      <c r="CW98" s="744"/>
      <c r="CX98" s="744"/>
      <c r="CY98" s="744"/>
      <c r="CZ98" s="744"/>
      <c r="DA98" s="744"/>
      <c r="DB98" s="744"/>
      <c r="DC98" s="744"/>
      <c r="DD98" s="744"/>
      <c r="DE98" s="744"/>
      <c r="DF98" s="744"/>
      <c r="DG98" s="744"/>
      <c r="DH98" s="744"/>
      <c r="DI98" s="744"/>
      <c r="DJ98" s="744"/>
      <c r="DK98" s="744"/>
      <c r="DL98" s="744"/>
      <c r="DM98" s="744"/>
      <c r="DN98" s="744"/>
      <c r="DO98" s="744"/>
      <c r="DP98" s="744"/>
      <c r="DQ98" s="744"/>
      <c r="DR98" s="744"/>
      <c r="DS98" s="744"/>
      <c r="DT98" s="744"/>
      <c r="DU98" s="744"/>
      <c r="DV98" s="744"/>
      <c r="DW98" s="744"/>
      <c r="DX98" s="744"/>
      <c r="DY98" s="744"/>
      <c r="DZ98" s="744"/>
      <c r="EA98" s="744"/>
      <c r="EB98" s="744"/>
      <c r="EC98" s="744"/>
      <c r="ED98" s="744"/>
      <c r="EE98" s="744"/>
      <c r="EF98" s="744"/>
      <c r="EG98" s="744"/>
      <c r="EH98" s="744"/>
      <c r="EI98" s="744"/>
      <c r="EJ98" s="744"/>
      <c r="EK98" s="744"/>
      <c r="EL98" s="744"/>
      <c r="EM98" s="744"/>
      <c r="EN98" s="744"/>
      <c r="EO98" s="744"/>
      <c r="EP98" s="744"/>
      <c r="EQ98" s="744"/>
      <c r="ER98" s="744"/>
      <c r="ES98" s="744"/>
      <c r="ET98" s="744"/>
      <c r="EU98" s="744"/>
      <c r="EV98" s="744"/>
      <c r="EW98" s="744"/>
      <c r="EX98" s="744"/>
      <c r="EY98" s="744"/>
      <c r="EZ98" s="744"/>
      <c r="FA98" s="744"/>
      <c r="FB98" s="744"/>
      <c r="FC98" s="744"/>
      <c r="FD98" s="744"/>
      <c r="FE98" s="744"/>
      <c r="FF98" s="744"/>
      <c r="FG98" s="744"/>
      <c r="FH98" s="744"/>
      <c r="FI98" s="744"/>
      <c r="FJ98" s="744"/>
      <c r="FK98" s="744"/>
      <c r="FL98" s="744"/>
      <c r="FM98" s="744"/>
      <c r="FN98" s="744"/>
      <c r="FO98" s="744"/>
      <c r="FP98" s="744"/>
      <c r="FQ98" s="744"/>
      <c r="FR98" s="744"/>
      <c r="FS98" s="744"/>
      <c r="FT98" s="744"/>
      <c r="FU98" s="744"/>
      <c r="FV98" s="744"/>
      <c r="FW98" s="744"/>
      <c r="FX98" s="744"/>
      <c r="FY98" s="744"/>
      <c r="FZ98" s="744"/>
      <c r="GA98" s="744"/>
      <c r="GB98" s="744"/>
      <c r="GC98" s="744"/>
      <c r="GD98" s="744"/>
      <c r="GE98" s="744"/>
      <c r="GF98" s="744"/>
      <c r="GG98" s="744"/>
      <c r="GH98" s="744"/>
      <c r="GI98" s="744"/>
      <c r="GJ98" s="744"/>
      <c r="GK98" s="744"/>
      <c r="GL98" s="744"/>
      <c r="GM98" s="744"/>
      <c r="GN98" s="744"/>
      <c r="GO98" s="744"/>
      <c r="GP98" s="744"/>
      <c r="GQ98" s="744"/>
      <c r="GR98" s="744"/>
      <c r="GS98" s="744"/>
      <c r="GT98" s="744"/>
      <c r="GU98" s="744"/>
      <c r="GV98" s="744"/>
      <c r="GW98" s="744"/>
      <c r="GX98" s="744"/>
      <c r="GY98" s="744"/>
      <c r="GZ98" s="744"/>
      <c r="HA98" s="744"/>
      <c r="HB98" s="744"/>
      <c r="HC98" s="744"/>
      <c r="HD98" s="744"/>
      <c r="HE98" s="744"/>
      <c r="HF98" s="744"/>
      <c r="HG98" s="744"/>
      <c r="HH98" s="744"/>
      <c r="HI98" s="744"/>
      <c r="HJ98" s="744"/>
      <c r="HK98" s="744"/>
      <c r="HL98" s="744"/>
      <c r="HM98" s="744"/>
      <c r="HN98" s="744"/>
      <c r="HO98" s="744"/>
      <c r="HP98" s="744"/>
      <c r="HQ98" s="744"/>
      <c r="HR98" s="744"/>
      <c r="HS98" s="744"/>
      <c r="HT98" s="744"/>
      <c r="HU98" s="744"/>
      <c r="HV98" s="744"/>
      <c r="HW98" s="744"/>
      <c r="HX98" s="744"/>
      <c r="HY98" s="744"/>
      <c r="HZ98" s="744"/>
      <c r="IA98" s="744"/>
      <c r="IB98" s="744"/>
      <c r="IC98" s="744"/>
      <c r="ID98" s="744"/>
      <c r="IE98" s="744"/>
      <c r="IF98" s="744"/>
      <c r="IG98" s="744"/>
      <c r="IH98" s="744"/>
      <c r="II98" s="744"/>
      <c r="IJ98" s="744"/>
      <c r="IK98" s="744"/>
      <c r="IL98" s="744"/>
      <c r="IM98" s="744"/>
      <c r="IN98" s="744"/>
      <c r="IO98" s="744"/>
      <c r="IP98" s="744"/>
      <c r="IQ98" s="744"/>
      <c r="IR98" s="744"/>
      <c r="IS98" s="744"/>
    </row>
    <row r="99" s="73" customFormat="1" ht="15" spans="1:253">
      <c r="A99" s="709" t="s">
        <v>196</v>
      </c>
      <c r="B99" s="682" t="s">
        <v>197</v>
      </c>
      <c r="C99" s="732" t="s">
        <v>157</v>
      </c>
      <c r="D99" s="729" t="s">
        <v>95</v>
      </c>
      <c r="E99" s="733">
        <f>'PB VI - Memorial'!E146</f>
        <v>40.09</v>
      </c>
      <c r="F99" s="711">
        <v>7.35</v>
      </c>
      <c r="G99" s="711">
        <f t="shared" ref="G99" si="8">ROUND(E99*F99,2)</f>
        <v>294.66</v>
      </c>
      <c r="H99" s="724"/>
      <c r="I99" s="724"/>
      <c r="J99" s="724"/>
      <c r="K99" s="724"/>
      <c r="L99" s="724"/>
      <c r="M99" s="724"/>
      <c r="N99" s="741"/>
      <c r="O99" s="741"/>
      <c r="P99" s="741"/>
      <c r="Q99" s="741"/>
      <c r="R99" s="741"/>
      <c r="S99" s="741"/>
      <c r="T99" s="741"/>
      <c r="U99" s="741"/>
      <c r="V99" s="741"/>
      <c r="W99" s="741"/>
      <c r="X99" s="741"/>
      <c r="Y99" s="741"/>
      <c r="Z99" s="741"/>
      <c r="AA99" s="741"/>
      <c r="AB99" s="741"/>
      <c r="AC99" s="741"/>
      <c r="AD99" s="741"/>
      <c r="AE99" s="741"/>
      <c r="AF99" s="741"/>
      <c r="AG99" s="741"/>
      <c r="AH99" s="741"/>
      <c r="AI99" s="741"/>
      <c r="AJ99" s="741"/>
      <c r="AK99" s="741"/>
      <c r="AL99" s="741"/>
      <c r="AM99" s="741"/>
      <c r="AN99" s="741"/>
      <c r="AO99" s="741"/>
      <c r="AP99" s="741"/>
      <c r="AQ99" s="741"/>
      <c r="AR99" s="741"/>
      <c r="AS99" s="741"/>
      <c r="AT99" s="741"/>
      <c r="AU99" s="741"/>
      <c r="AV99" s="741"/>
      <c r="AW99" s="741"/>
      <c r="AX99" s="741"/>
      <c r="AY99" s="741"/>
      <c r="AZ99" s="741"/>
      <c r="BA99" s="741"/>
      <c r="BB99" s="741"/>
      <c r="BC99" s="741"/>
      <c r="BD99" s="741"/>
      <c r="BE99" s="741"/>
      <c r="BF99" s="741"/>
      <c r="BG99" s="741"/>
      <c r="BH99" s="741"/>
      <c r="BI99" s="741"/>
      <c r="BJ99" s="741"/>
      <c r="BK99" s="741"/>
      <c r="BL99" s="741"/>
      <c r="BM99" s="741"/>
      <c r="BN99" s="741"/>
      <c r="BO99" s="741"/>
      <c r="BP99" s="741"/>
      <c r="BQ99" s="741"/>
      <c r="BR99" s="741"/>
      <c r="BS99" s="741"/>
      <c r="BT99" s="741"/>
      <c r="BU99" s="741"/>
      <c r="BV99" s="741"/>
      <c r="BW99" s="744"/>
      <c r="BX99" s="744"/>
      <c r="BY99" s="744"/>
      <c r="BZ99" s="744"/>
      <c r="CA99" s="744"/>
      <c r="CB99" s="744"/>
      <c r="CC99" s="744"/>
      <c r="CD99" s="744"/>
      <c r="CE99" s="744"/>
      <c r="CF99" s="744"/>
      <c r="CG99" s="744"/>
      <c r="CH99" s="744"/>
      <c r="CI99" s="744"/>
      <c r="CJ99" s="744"/>
      <c r="CK99" s="744"/>
      <c r="CL99" s="744"/>
      <c r="CM99" s="744"/>
      <c r="CN99" s="744"/>
      <c r="CO99" s="744"/>
      <c r="CP99" s="744"/>
      <c r="CQ99" s="744"/>
      <c r="CR99" s="744"/>
      <c r="CS99" s="744"/>
      <c r="CT99" s="744"/>
      <c r="CU99" s="744"/>
      <c r="CV99" s="744"/>
      <c r="CW99" s="744"/>
      <c r="CX99" s="744"/>
      <c r="CY99" s="744"/>
      <c r="CZ99" s="744"/>
      <c r="DA99" s="744"/>
      <c r="DB99" s="744"/>
      <c r="DC99" s="744"/>
      <c r="DD99" s="744"/>
      <c r="DE99" s="744"/>
      <c r="DF99" s="744"/>
      <c r="DG99" s="744"/>
      <c r="DH99" s="744"/>
      <c r="DI99" s="744"/>
      <c r="DJ99" s="744"/>
      <c r="DK99" s="744"/>
      <c r="DL99" s="744"/>
      <c r="DM99" s="744"/>
      <c r="DN99" s="744"/>
      <c r="DO99" s="744"/>
      <c r="DP99" s="744"/>
      <c r="DQ99" s="744"/>
      <c r="DR99" s="744"/>
      <c r="DS99" s="744"/>
      <c r="DT99" s="744"/>
      <c r="DU99" s="744"/>
      <c r="DV99" s="744"/>
      <c r="DW99" s="744"/>
      <c r="DX99" s="744"/>
      <c r="DY99" s="744"/>
      <c r="DZ99" s="744"/>
      <c r="EA99" s="744"/>
      <c r="EB99" s="744"/>
      <c r="EC99" s="744"/>
      <c r="ED99" s="744"/>
      <c r="EE99" s="744"/>
      <c r="EF99" s="744"/>
      <c r="EG99" s="744"/>
      <c r="EH99" s="744"/>
      <c r="EI99" s="744"/>
      <c r="EJ99" s="744"/>
      <c r="EK99" s="744"/>
      <c r="EL99" s="744"/>
      <c r="EM99" s="744"/>
      <c r="EN99" s="744"/>
      <c r="EO99" s="744"/>
      <c r="EP99" s="744"/>
      <c r="EQ99" s="744"/>
      <c r="ER99" s="744"/>
      <c r="ES99" s="744"/>
      <c r="ET99" s="744"/>
      <c r="EU99" s="744"/>
      <c r="EV99" s="744"/>
      <c r="EW99" s="744"/>
      <c r="EX99" s="744"/>
      <c r="EY99" s="744"/>
      <c r="EZ99" s="744"/>
      <c r="FA99" s="744"/>
      <c r="FB99" s="744"/>
      <c r="FC99" s="744"/>
      <c r="FD99" s="744"/>
      <c r="FE99" s="744"/>
      <c r="FF99" s="744"/>
      <c r="FG99" s="744"/>
      <c r="FH99" s="744"/>
      <c r="FI99" s="744"/>
      <c r="FJ99" s="744"/>
      <c r="FK99" s="744"/>
      <c r="FL99" s="744"/>
      <c r="FM99" s="744"/>
      <c r="FN99" s="744"/>
      <c r="FO99" s="744"/>
      <c r="FP99" s="744"/>
      <c r="FQ99" s="744"/>
      <c r="FR99" s="744"/>
      <c r="FS99" s="744"/>
      <c r="FT99" s="744"/>
      <c r="FU99" s="744"/>
      <c r="FV99" s="744"/>
      <c r="FW99" s="744"/>
      <c r="FX99" s="744"/>
      <c r="FY99" s="744"/>
      <c r="FZ99" s="744"/>
      <c r="GA99" s="744"/>
      <c r="GB99" s="744"/>
      <c r="GC99" s="744"/>
      <c r="GD99" s="744"/>
      <c r="GE99" s="744"/>
      <c r="GF99" s="744"/>
      <c r="GG99" s="744"/>
      <c r="GH99" s="744"/>
      <c r="GI99" s="744"/>
      <c r="GJ99" s="744"/>
      <c r="GK99" s="744"/>
      <c r="GL99" s="744"/>
      <c r="GM99" s="744"/>
      <c r="GN99" s="744"/>
      <c r="GO99" s="744"/>
      <c r="GP99" s="744"/>
      <c r="GQ99" s="744"/>
      <c r="GR99" s="744"/>
      <c r="GS99" s="744"/>
      <c r="GT99" s="744"/>
      <c r="GU99" s="744"/>
      <c r="GV99" s="744"/>
      <c r="GW99" s="744"/>
      <c r="GX99" s="744"/>
      <c r="GY99" s="744"/>
      <c r="GZ99" s="744"/>
      <c r="HA99" s="744"/>
      <c r="HB99" s="744"/>
      <c r="HC99" s="744"/>
      <c r="HD99" s="744"/>
      <c r="HE99" s="744"/>
      <c r="HF99" s="744"/>
      <c r="HG99" s="744"/>
      <c r="HH99" s="744"/>
      <c r="HI99" s="744"/>
      <c r="HJ99" s="744"/>
      <c r="HK99" s="744"/>
      <c r="HL99" s="744"/>
      <c r="HM99" s="744"/>
      <c r="HN99" s="744"/>
      <c r="HO99" s="744"/>
      <c r="HP99" s="744"/>
      <c r="HQ99" s="744"/>
      <c r="HR99" s="744"/>
      <c r="HS99" s="744"/>
      <c r="HT99" s="744"/>
      <c r="HU99" s="744"/>
      <c r="HV99" s="744"/>
      <c r="HW99" s="744"/>
      <c r="HX99" s="744"/>
      <c r="HY99" s="744"/>
      <c r="HZ99" s="744"/>
      <c r="IA99" s="744"/>
      <c r="IB99" s="744"/>
      <c r="IC99" s="744"/>
      <c r="ID99" s="744"/>
      <c r="IE99" s="744"/>
      <c r="IF99" s="744"/>
      <c r="IG99" s="744"/>
      <c r="IH99" s="744"/>
      <c r="II99" s="744"/>
      <c r="IJ99" s="744"/>
      <c r="IK99" s="744"/>
      <c r="IL99" s="744"/>
      <c r="IM99" s="744"/>
      <c r="IN99" s="744"/>
      <c r="IO99" s="744"/>
      <c r="IP99" s="744"/>
      <c r="IQ99" s="744"/>
      <c r="IR99" s="744"/>
      <c r="IS99" s="744"/>
    </row>
    <row r="100" s="73" customFormat="1" ht="15" spans="1:253">
      <c r="A100" s="709" t="s">
        <v>180</v>
      </c>
      <c r="B100" s="682" t="s">
        <v>198</v>
      </c>
      <c r="C100" s="732" t="s">
        <v>182</v>
      </c>
      <c r="D100" s="729" t="s">
        <v>95</v>
      </c>
      <c r="E100" s="733">
        <f>'PB VI - Memorial'!G151</f>
        <v>136.82</v>
      </c>
      <c r="F100" s="711">
        <v>13.31</v>
      </c>
      <c r="G100" s="711">
        <f t="shared" si="6"/>
        <v>1821.07</v>
      </c>
      <c r="H100" s="724"/>
      <c r="I100" s="724"/>
      <c r="J100" s="724"/>
      <c r="K100" s="724"/>
      <c r="L100" s="724"/>
      <c r="M100" s="724"/>
      <c r="N100" s="741"/>
      <c r="O100" s="741"/>
      <c r="P100" s="741"/>
      <c r="Q100" s="741"/>
      <c r="R100" s="741"/>
      <c r="S100" s="741"/>
      <c r="T100" s="741"/>
      <c r="U100" s="741"/>
      <c r="V100" s="741"/>
      <c r="W100" s="741"/>
      <c r="X100" s="741"/>
      <c r="Y100" s="741"/>
      <c r="Z100" s="741"/>
      <c r="AA100" s="741"/>
      <c r="AB100" s="741"/>
      <c r="AC100" s="741"/>
      <c r="AD100" s="741"/>
      <c r="AE100" s="741"/>
      <c r="AF100" s="741"/>
      <c r="AG100" s="741"/>
      <c r="AH100" s="741"/>
      <c r="AI100" s="741"/>
      <c r="AJ100" s="741"/>
      <c r="AK100" s="741"/>
      <c r="AL100" s="741"/>
      <c r="AM100" s="741"/>
      <c r="AN100" s="741"/>
      <c r="AO100" s="741"/>
      <c r="AP100" s="741"/>
      <c r="AQ100" s="741"/>
      <c r="AR100" s="741"/>
      <c r="AS100" s="741"/>
      <c r="AT100" s="741"/>
      <c r="AU100" s="741"/>
      <c r="AV100" s="741"/>
      <c r="AW100" s="741"/>
      <c r="AX100" s="741"/>
      <c r="AY100" s="741"/>
      <c r="AZ100" s="741"/>
      <c r="BA100" s="741"/>
      <c r="BB100" s="741"/>
      <c r="BC100" s="741"/>
      <c r="BD100" s="741"/>
      <c r="BE100" s="741"/>
      <c r="BF100" s="741"/>
      <c r="BG100" s="741"/>
      <c r="BH100" s="741"/>
      <c r="BI100" s="741"/>
      <c r="BJ100" s="741"/>
      <c r="BK100" s="741"/>
      <c r="BL100" s="741"/>
      <c r="BM100" s="741"/>
      <c r="BN100" s="741"/>
      <c r="BO100" s="741"/>
      <c r="BP100" s="741"/>
      <c r="BQ100" s="741"/>
      <c r="BR100" s="741"/>
      <c r="BS100" s="741"/>
      <c r="BT100" s="741"/>
      <c r="BU100" s="741"/>
      <c r="BV100" s="741"/>
      <c r="BW100" s="744"/>
      <c r="BX100" s="744"/>
      <c r="BY100" s="744"/>
      <c r="BZ100" s="744"/>
      <c r="CA100" s="744"/>
      <c r="CB100" s="744"/>
      <c r="CC100" s="744"/>
      <c r="CD100" s="744"/>
      <c r="CE100" s="744"/>
      <c r="CF100" s="744"/>
      <c r="CG100" s="744"/>
      <c r="CH100" s="744"/>
      <c r="CI100" s="744"/>
      <c r="CJ100" s="744"/>
      <c r="CK100" s="744"/>
      <c r="CL100" s="744"/>
      <c r="CM100" s="744"/>
      <c r="CN100" s="744"/>
      <c r="CO100" s="744"/>
      <c r="CP100" s="744"/>
      <c r="CQ100" s="744"/>
      <c r="CR100" s="744"/>
      <c r="CS100" s="744"/>
      <c r="CT100" s="744"/>
      <c r="CU100" s="744"/>
      <c r="CV100" s="744"/>
      <c r="CW100" s="744"/>
      <c r="CX100" s="744"/>
      <c r="CY100" s="744"/>
      <c r="CZ100" s="744"/>
      <c r="DA100" s="744"/>
      <c r="DB100" s="744"/>
      <c r="DC100" s="744"/>
      <c r="DD100" s="744"/>
      <c r="DE100" s="744"/>
      <c r="DF100" s="744"/>
      <c r="DG100" s="744"/>
      <c r="DH100" s="744"/>
      <c r="DI100" s="744"/>
      <c r="DJ100" s="744"/>
      <c r="DK100" s="744"/>
      <c r="DL100" s="744"/>
      <c r="DM100" s="744"/>
      <c r="DN100" s="744"/>
      <c r="DO100" s="744"/>
      <c r="DP100" s="744"/>
      <c r="DQ100" s="744"/>
      <c r="DR100" s="744"/>
      <c r="DS100" s="744"/>
      <c r="DT100" s="744"/>
      <c r="DU100" s="744"/>
      <c r="DV100" s="744"/>
      <c r="DW100" s="744"/>
      <c r="DX100" s="744"/>
      <c r="DY100" s="744"/>
      <c r="DZ100" s="744"/>
      <c r="EA100" s="744"/>
      <c r="EB100" s="744"/>
      <c r="EC100" s="744"/>
      <c r="ED100" s="744"/>
      <c r="EE100" s="744"/>
      <c r="EF100" s="744"/>
      <c r="EG100" s="744"/>
      <c r="EH100" s="744"/>
      <c r="EI100" s="744"/>
      <c r="EJ100" s="744"/>
      <c r="EK100" s="744"/>
      <c r="EL100" s="744"/>
      <c r="EM100" s="744"/>
      <c r="EN100" s="744"/>
      <c r="EO100" s="744"/>
      <c r="EP100" s="744"/>
      <c r="EQ100" s="744"/>
      <c r="ER100" s="744"/>
      <c r="ES100" s="744"/>
      <c r="ET100" s="744"/>
      <c r="EU100" s="744"/>
      <c r="EV100" s="744"/>
      <c r="EW100" s="744"/>
      <c r="EX100" s="744"/>
      <c r="EY100" s="744"/>
      <c r="EZ100" s="744"/>
      <c r="FA100" s="744"/>
      <c r="FB100" s="744"/>
      <c r="FC100" s="744"/>
      <c r="FD100" s="744"/>
      <c r="FE100" s="744"/>
      <c r="FF100" s="744"/>
      <c r="FG100" s="744"/>
      <c r="FH100" s="744"/>
      <c r="FI100" s="744"/>
      <c r="FJ100" s="744"/>
      <c r="FK100" s="744"/>
      <c r="FL100" s="744"/>
      <c r="FM100" s="744"/>
      <c r="FN100" s="744"/>
      <c r="FO100" s="744"/>
      <c r="FP100" s="744"/>
      <c r="FQ100" s="744"/>
      <c r="FR100" s="744"/>
      <c r="FS100" s="744"/>
      <c r="FT100" s="744"/>
      <c r="FU100" s="744"/>
      <c r="FV100" s="744"/>
      <c r="FW100" s="744"/>
      <c r="FX100" s="744"/>
      <c r="FY100" s="744"/>
      <c r="FZ100" s="744"/>
      <c r="GA100" s="744"/>
      <c r="GB100" s="744"/>
      <c r="GC100" s="744"/>
      <c r="GD100" s="744"/>
      <c r="GE100" s="744"/>
      <c r="GF100" s="744"/>
      <c r="GG100" s="744"/>
      <c r="GH100" s="744"/>
      <c r="GI100" s="744"/>
      <c r="GJ100" s="744"/>
      <c r="GK100" s="744"/>
      <c r="GL100" s="744"/>
      <c r="GM100" s="744"/>
      <c r="GN100" s="744"/>
      <c r="GO100" s="744"/>
      <c r="GP100" s="744"/>
      <c r="GQ100" s="744"/>
      <c r="GR100" s="744"/>
      <c r="GS100" s="744"/>
      <c r="GT100" s="744"/>
      <c r="GU100" s="744"/>
      <c r="GV100" s="744"/>
      <c r="GW100" s="744"/>
      <c r="GX100" s="744"/>
      <c r="GY100" s="744"/>
      <c r="GZ100" s="744"/>
      <c r="HA100" s="744"/>
      <c r="HB100" s="744"/>
      <c r="HC100" s="744"/>
      <c r="HD100" s="744"/>
      <c r="HE100" s="744"/>
      <c r="HF100" s="744"/>
      <c r="HG100" s="744"/>
      <c r="HH100" s="744"/>
      <c r="HI100" s="744"/>
      <c r="HJ100" s="744"/>
      <c r="HK100" s="744"/>
      <c r="HL100" s="744"/>
      <c r="HM100" s="744"/>
      <c r="HN100" s="744"/>
      <c r="HO100" s="744"/>
      <c r="HP100" s="744"/>
      <c r="HQ100" s="744"/>
      <c r="HR100" s="744"/>
      <c r="HS100" s="744"/>
      <c r="HT100" s="744"/>
      <c r="HU100" s="744"/>
      <c r="HV100" s="744"/>
      <c r="HW100" s="744"/>
      <c r="HX100" s="744"/>
      <c r="HY100" s="744"/>
      <c r="HZ100" s="744"/>
      <c r="IA100" s="744"/>
      <c r="IB100" s="744"/>
      <c r="IC100" s="744"/>
      <c r="ID100" s="744"/>
      <c r="IE100" s="744"/>
      <c r="IF100" s="744"/>
      <c r="IG100" s="744"/>
      <c r="IH100" s="744"/>
      <c r="II100" s="744"/>
      <c r="IJ100" s="744"/>
      <c r="IK100" s="744"/>
      <c r="IL100" s="744"/>
      <c r="IM100" s="744"/>
      <c r="IN100" s="744"/>
      <c r="IO100" s="744"/>
      <c r="IP100" s="744"/>
      <c r="IQ100" s="744"/>
      <c r="IR100" s="744"/>
      <c r="IS100" s="744"/>
    </row>
    <row r="101" s="73" customFormat="1" ht="15" spans="1:253">
      <c r="A101" s="734"/>
      <c r="B101" s="735" t="s">
        <v>199</v>
      </c>
      <c r="C101" s="736" t="s">
        <v>200</v>
      </c>
      <c r="D101" s="729"/>
      <c r="E101" s="733"/>
      <c r="F101" s="711"/>
      <c r="G101" s="711"/>
      <c r="H101" s="724"/>
      <c r="I101" s="724"/>
      <c r="J101" s="724"/>
      <c r="K101" s="724"/>
      <c r="L101" s="724"/>
      <c r="M101" s="724"/>
      <c r="N101" s="741"/>
      <c r="O101" s="741"/>
      <c r="P101" s="741"/>
      <c r="Q101" s="741"/>
      <c r="R101" s="741"/>
      <c r="S101" s="741"/>
      <c r="T101" s="741"/>
      <c r="U101" s="741"/>
      <c r="V101" s="741"/>
      <c r="W101" s="741"/>
      <c r="X101" s="741"/>
      <c r="Y101" s="741"/>
      <c r="Z101" s="741"/>
      <c r="AA101" s="741"/>
      <c r="AB101" s="741"/>
      <c r="AC101" s="741"/>
      <c r="AD101" s="741"/>
      <c r="AE101" s="741"/>
      <c r="AF101" s="741"/>
      <c r="AG101" s="741"/>
      <c r="AH101" s="741"/>
      <c r="AI101" s="741"/>
      <c r="AJ101" s="741"/>
      <c r="AK101" s="741"/>
      <c r="AL101" s="741"/>
      <c r="AM101" s="741"/>
      <c r="AN101" s="741"/>
      <c r="AO101" s="741"/>
      <c r="AP101" s="741"/>
      <c r="AQ101" s="741"/>
      <c r="AR101" s="741"/>
      <c r="AS101" s="741"/>
      <c r="AT101" s="741"/>
      <c r="AU101" s="741"/>
      <c r="AV101" s="741"/>
      <c r="AW101" s="741"/>
      <c r="AX101" s="741"/>
      <c r="AY101" s="741"/>
      <c r="AZ101" s="741"/>
      <c r="BA101" s="741"/>
      <c r="BB101" s="741"/>
      <c r="BC101" s="741"/>
      <c r="BD101" s="741"/>
      <c r="BE101" s="741"/>
      <c r="BF101" s="741"/>
      <c r="BG101" s="741"/>
      <c r="BH101" s="741"/>
      <c r="BI101" s="741"/>
      <c r="BJ101" s="741"/>
      <c r="BK101" s="741"/>
      <c r="BL101" s="741"/>
      <c r="BM101" s="741"/>
      <c r="BN101" s="741"/>
      <c r="BO101" s="741"/>
      <c r="BP101" s="741"/>
      <c r="BQ101" s="741"/>
      <c r="BR101" s="741"/>
      <c r="BS101" s="741"/>
      <c r="BT101" s="741"/>
      <c r="BU101" s="741"/>
      <c r="BV101" s="741"/>
      <c r="BW101" s="744"/>
      <c r="BX101" s="744"/>
      <c r="BY101" s="744"/>
      <c r="BZ101" s="744"/>
      <c r="CA101" s="744"/>
      <c r="CB101" s="744"/>
      <c r="CC101" s="744"/>
      <c r="CD101" s="744"/>
      <c r="CE101" s="744"/>
      <c r="CF101" s="744"/>
      <c r="CG101" s="744"/>
      <c r="CH101" s="744"/>
      <c r="CI101" s="744"/>
      <c r="CJ101" s="744"/>
      <c r="CK101" s="744"/>
      <c r="CL101" s="744"/>
      <c r="CM101" s="744"/>
      <c r="CN101" s="744"/>
      <c r="CO101" s="744"/>
      <c r="CP101" s="744"/>
      <c r="CQ101" s="744"/>
      <c r="CR101" s="744"/>
      <c r="CS101" s="744"/>
      <c r="CT101" s="744"/>
      <c r="CU101" s="744"/>
      <c r="CV101" s="744"/>
      <c r="CW101" s="744"/>
      <c r="CX101" s="744"/>
      <c r="CY101" s="744"/>
      <c r="CZ101" s="744"/>
      <c r="DA101" s="744"/>
      <c r="DB101" s="744"/>
      <c r="DC101" s="744"/>
      <c r="DD101" s="744"/>
      <c r="DE101" s="744"/>
      <c r="DF101" s="744"/>
      <c r="DG101" s="744"/>
      <c r="DH101" s="744"/>
      <c r="DI101" s="744"/>
      <c r="DJ101" s="744"/>
      <c r="DK101" s="744"/>
      <c r="DL101" s="744"/>
      <c r="DM101" s="744"/>
      <c r="DN101" s="744"/>
      <c r="DO101" s="744"/>
      <c r="DP101" s="744"/>
      <c r="DQ101" s="744"/>
      <c r="DR101" s="744"/>
      <c r="DS101" s="744"/>
      <c r="DT101" s="744"/>
      <c r="DU101" s="744"/>
      <c r="DV101" s="744"/>
      <c r="DW101" s="744"/>
      <c r="DX101" s="744"/>
      <c r="DY101" s="744"/>
      <c r="DZ101" s="744"/>
      <c r="EA101" s="744"/>
      <c r="EB101" s="744"/>
      <c r="EC101" s="744"/>
      <c r="ED101" s="744"/>
      <c r="EE101" s="744"/>
      <c r="EF101" s="744"/>
      <c r="EG101" s="744"/>
      <c r="EH101" s="744"/>
      <c r="EI101" s="744"/>
      <c r="EJ101" s="744"/>
      <c r="EK101" s="744"/>
      <c r="EL101" s="744"/>
      <c r="EM101" s="744"/>
      <c r="EN101" s="744"/>
      <c r="EO101" s="744"/>
      <c r="EP101" s="744"/>
      <c r="EQ101" s="744"/>
      <c r="ER101" s="744"/>
      <c r="ES101" s="744"/>
      <c r="ET101" s="744"/>
      <c r="EU101" s="744"/>
      <c r="EV101" s="744"/>
      <c r="EW101" s="744"/>
      <c r="EX101" s="744"/>
      <c r="EY101" s="744"/>
      <c r="EZ101" s="744"/>
      <c r="FA101" s="744"/>
      <c r="FB101" s="744"/>
      <c r="FC101" s="744"/>
      <c r="FD101" s="744"/>
      <c r="FE101" s="744"/>
      <c r="FF101" s="744"/>
      <c r="FG101" s="744"/>
      <c r="FH101" s="744"/>
      <c r="FI101" s="744"/>
      <c r="FJ101" s="744"/>
      <c r="FK101" s="744"/>
      <c r="FL101" s="744"/>
      <c r="FM101" s="744"/>
      <c r="FN101" s="744"/>
      <c r="FO101" s="744"/>
      <c r="FP101" s="744"/>
      <c r="FQ101" s="744"/>
      <c r="FR101" s="744"/>
      <c r="FS101" s="744"/>
      <c r="FT101" s="744"/>
      <c r="FU101" s="744"/>
      <c r="FV101" s="744"/>
      <c r="FW101" s="744"/>
      <c r="FX101" s="744"/>
      <c r="FY101" s="744"/>
      <c r="FZ101" s="744"/>
      <c r="GA101" s="744"/>
      <c r="GB101" s="744"/>
      <c r="GC101" s="744"/>
      <c r="GD101" s="744"/>
      <c r="GE101" s="744"/>
      <c r="GF101" s="744"/>
      <c r="GG101" s="744"/>
      <c r="GH101" s="744"/>
      <c r="GI101" s="744"/>
      <c r="GJ101" s="744"/>
      <c r="GK101" s="744"/>
      <c r="GL101" s="744"/>
      <c r="GM101" s="744"/>
      <c r="GN101" s="744"/>
      <c r="GO101" s="744"/>
      <c r="GP101" s="744"/>
      <c r="GQ101" s="744"/>
      <c r="GR101" s="744"/>
      <c r="GS101" s="744"/>
      <c r="GT101" s="744"/>
      <c r="GU101" s="744"/>
      <c r="GV101" s="744"/>
      <c r="GW101" s="744"/>
      <c r="GX101" s="744"/>
      <c r="GY101" s="744"/>
      <c r="GZ101" s="744"/>
      <c r="HA101" s="744"/>
      <c r="HB101" s="744"/>
      <c r="HC101" s="744"/>
      <c r="HD101" s="744"/>
      <c r="HE101" s="744"/>
      <c r="HF101" s="744"/>
      <c r="HG101" s="744"/>
      <c r="HH101" s="744"/>
      <c r="HI101" s="744"/>
      <c r="HJ101" s="744"/>
      <c r="HK101" s="744"/>
      <c r="HL101" s="744"/>
      <c r="HM101" s="744"/>
      <c r="HN101" s="744"/>
      <c r="HO101" s="744"/>
      <c r="HP101" s="744"/>
      <c r="HQ101" s="744"/>
      <c r="HR101" s="744"/>
      <c r="HS101" s="744"/>
      <c r="HT101" s="744"/>
      <c r="HU101" s="744"/>
      <c r="HV101" s="744"/>
      <c r="HW101" s="744"/>
      <c r="HX101" s="744"/>
      <c r="HY101" s="744"/>
      <c r="HZ101" s="744"/>
      <c r="IA101" s="744"/>
      <c r="IB101" s="744"/>
      <c r="IC101" s="744"/>
      <c r="ID101" s="744"/>
      <c r="IE101" s="744"/>
      <c r="IF101" s="744"/>
      <c r="IG101" s="744"/>
      <c r="IH101" s="744"/>
      <c r="II101" s="744"/>
      <c r="IJ101" s="744"/>
      <c r="IK101" s="744"/>
      <c r="IL101" s="744"/>
      <c r="IM101" s="744"/>
      <c r="IN101" s="744"/>
      <c r="IO101" s="744"/>
      <c r="IP101" s="744"/>
      <c r="IQ101" s="744"/>
      <c r="IR101" s="744"/>
      <c r="IS101" s="744"/>
    </row>
    <row r="102" s="73" customFormat="1" ht="15" spans="1:253">
      <c r="A102" s="709" t="s">
        <v>139</v>
      </c>
      <c r="B102" s="682" t="s">
        <v>201</v>
      </c>
      <c r="C102" s="732" t="s">
        <v>167</v>
      </c>
      <c r="D102" s="729" t="s">
        <v>56</v>
      </c>
      <c r="E102" s="733">
        <f>'PB VI - Memorial'!B149</f>
        <v>10.01</v>
      </c>
      <c r="F102" s="711">
        <f>F95</f>
        <v>393.85</v>
      </c>
      <c r="G102" s="711">
        <f t="shared" si="6"/>
        <v>3942.44</v>
      </c>
      <c r="H102" s="724"/>
      <c r="I102" s="724"/>
      <c r="J102" s="724"/>
      <c r="K102" s="724"/>
      <c r="L102" s="724"/>
      <c r="M102" s="724"/>
      <c r="N102" s="741"/>
      <c r="O102" s="741"/>
      <c r="P102" s="741"/>
      <c r="Q102" s="741"/>
      <c r="R102" s="741"/>
      <c r="S102" s="741"/>
      <c r="T102" s="741"/>
      <c r="U102" s="741"/>
      <c r="V102" s="741"/>
      <c r="W102" s="741"/>
      <c r="X102" s="741"/>
      <c r="Y102" s="741"/>
      <c r="Z102" s="741"/>
      <c r="AA102" s="741"/>
      <c r="AB102" s="741"/>
      <c r="AC102" s="741"/>
      <c r="AD102" s="741"/>
      <c r="AE102" s="741"/>
      <c r="AF102" s="741"/>
      <c r="AG102" s="741"/>
      <c r="AH102" s="741"/>
      <c r="AI102" s="741"/>
      <c r="AJ102" s="741"/>
      <c r="AK102" s="741"/>
      <c r="AL102" s="741"/>
      <c r="AM102" s="741"/>
      <c r="AN102" s="741"/>
      <c r="AO102" s="741"/>
      <c r="AP102" s="741"/>
      <c r="AQ102" s="741"/>
      <c r="AR102" s="741"/>
      <c r="AS102" s="741"/>
      <c r="AT102" s="741"/>
      <c r="AU102" s="741"/>
      <c r="AV102" s="741"/>
      <c r="AW102" s="741"/>
      <c r="AX102" s="741"/>
      <c r="AY102" s="741"/>
      <c r="AZ102" s="741"/>
      <c r="BA102" s="741"/>
      <c r="BB102" s="741"/>
      <c r="BC102" s="741"/>
      <c r="BD102" s="741"/>
      <c r="BE102" s="741"/>
      <c r="BF102" s="741"/>
      <c r="BG102" s="741"/>
      <c r="BH102" s="741"/>
      <c r="BI102" s="741"/>
      <c r="BJ102" s="741"/>
      <c r="BK102" s="741"/>
      <c r="BL102" s="741"/>
      <c r="BM102" s="741"/>
      <c r="BN102" s="741"/>
      <c r="BO102" s="741"/>
      <c r="BP102" s="741"/>
      <c r="BQ102" s="741"/>
      <c r="BR102" s="741"/>
      <c r="BS102" s="741"/>
      <c r="BT102" s="741"/>
      <c r="BU102" s="741"/>
      <c r="BV102" s="741"/>
      <c r="BW102" s="744"/>
      <c r="BX102" s="744"/>
      <c r="BY102" s="744"/>
      <c r="BZ102" s="744"/>
      <c r="CA102" s="744"/>
      <c r="CB102" s="744"/>
      <c r="CC102" s="744"/>
      <c r="CD102" s="744"/>
      <c r="CE102" s="744"/>
      <c r="CF102" s="744"/>
      <c r="CG102" s="744"/>
      <c r="CH102" s="744"/>
      <c r="CI102" s="744"/>
      <c r="CJ102" s="744"/>
      <c r="CK102" s="744"/>
      <c r="CL102" s="744"/>
      <c r="CM102" s="744"/>
      <c r="CN102" s="744"/>
      <c r="CO102" s="744"/>
      <c r="CP102" s="744"/>
      <c r="CQ102" s="744"/>
      <c r="CR102" s="744"/>
      <c r="CS102" s="744"/>
      <c r="CT102" s="744"/>
      <c r="CU102" s="744"/>
      <c r="CV102" s="744"/>
      <c r="CW102" s="744"/>
      <c r="CX102" s="744"/>
      <c r="CY102" s="744"/>
      <c r="CZ102" s="744"/>
      <c r="DA102" s="744"/>
      <c r="DB102" s="744"/>
      <c r="DC102" s="744"/>
      <c r="DD102" s="744"/>
      <c r="DE102" s="744"/>
      <c r="DF102" s="744"/>
      <c r="DG102" s="744"/>
      <c r="DH102" s="744"/>
      <c r="DI102" s="744"/>
      <c r="DJ102" s="744"/>
      <c r="DK102" s="744"/>
      <c r="DL102" s="744"/>
      <c r="DM102" s="744"/>
      <c r="DN102" s="744"/>
      <c r="DO102" s="744"/>
      <c r="DP102" s="744"/>
      <c r="DQ102" s="744"/>
      <c r="DR102" s="744"/>
      <c r="DS102" s="744"/>
      <c r="DT102" s="744"/>
      <c r="DU102" s="744"/>
      <c r="DV102" s="744"/>
      <c r="DW102" s="744"/>
      <c r="DX102" s="744"/>
      <c r="DY102" s="744"/>
      <c r="DZ102" s="744"/>
      <c r="EA102" s="744"/>
      <c r="EB102" s="744"/>
      <c r="EC102" s="744"/>
      <c r="ED102" s="744"/>
      <c r="EE102" s="744"/>
      <c r="EF102" s="744"/>
      <c r="EG102" s="744"/>
      <c r="EH102" s="744"/>
      <c r="EI102" s="744"/>
      <c r="EJ102" s="744"/>
      <c r="EK102" s="744"/>
      <c r="EL102" s="744"/>
      <c r="EM102" s="744"/>
      <c r="EN102" s="744"/>
      <c r="EO102" s="744"/>
      <c r="EP102" s="744"/>
      <c r="EQ102" s="744"/>
      <c r="ER102" s="744"/>
      <c r="ES102" s="744"/>
      <c r="ET102" s="744"/>
      <c r="EU102" s="744"/>
      <c r="EV102" s="744"/>
      <c r="EW102" s="744"/>
      <c r="EX102" s="744"/>
      <c r="EY102" s="744"/>
      <c r="EZ102" s="744"/>
      <c r="FA102" s="744"/>
      <c r="FB102" s="744"/>
      <c r="FC102" s="744"/>
      <c r="FD102" s="744"/>
      <c r="FE102" s="744"/>
      <c r="FF102" s="744"/>
      <c r="FG102" s="744"/>
      <c r="FH102" s="744"/>
      <c r="FI102" s="744"/>
      <c r="FJ102" s="744"/>
      <c r="FK102" s="744"/>
      <c r="FL102" s="744"/>
      <c r="FM102" s="744"/>
      <c r="FN102" s="744"/>
      <c r="FO102" s="744"/>
      <c r="FP102" s="744"/>
      <c r="FQ102" s="744"/>
      <c r="FR102" s="744"/>
      <c r="FS102" s="744"/>
      <c r="FT102" s="744"/>
      <c r="FU102" s="744"/>
      <c r="FV102" s="744"/>
      <c r="FW102" s="744"/>
      <c r="FX102" s="744"/>
      <c r="FY102" s="744"/>
      <c r="FZ102" s="744"/>
      <c r="GA102" s="744"/>
      <c r="GB102" s="744"/>
      <c r="GC102" s="744"/>
      <c r="GD102" s="744"/>
      <c r="GE102" s="744"/>
      <c r="GF102" s="744"/>
      <c r="GG102" s="744"/>
      <c r="GH102" s="744"/>
      <c r="GI102" s="744"/>
      <c r="GJ102" s="744"/>
      <c r="GK102" s="744"/>
      <c r="GL102" s="744"/>
      <c r="GM102" s="744"/>
      <c r="GN102" s="744"/>
      <c r="GO102" s="744"/>
      <c r="GP102" s="744"/>
      <c r="GQ102" s="744"/>
      <c r="GR102" s="744"/>
      <c r="GS102" s="744"/>
      <c r="GT102" s="744"/>
      <c r="GU102" s="744"/>
      <c r="GV102" s="744"/>
      <c r="GW102" s="744"/>
      <c r="GX102" s="744"/>
      <c r="GY102" s="744"/>
      <c r="GZ102" s="744"/>
      <c r="HA102" s="744"/>
      <c r="HB102" s="744"/>
      <c r="HC102" s="744"/>
      <c r="HD102" s="744"/>
      <c r="HE102" s="744"/>
      <c r="HF102" s="744"/>
      <c r="HG102" s="744"/>
      <c r="HH102" s="744"/>
      <c r="HI102" s="744"/>
      <c r="HJ102" s="744"/>
      <c r="HK102" s="744"/>
      <c r="HL102" s="744"/>
      <c r="HM102" s="744"/>
      <c r="HN102" s="744"/>
      <c r="HO102" s="744"/>
      <c r="HP102" s="744"/>
      <c r="HQ102" s="744"/>
      <c r="HR102" s="744"/>
      <c r="HS102" s="744"/>
      <c r="HT102" s="744"/>
      <c r="HU102" s="744"/>
      <c r="HV102" s="744"/>
      <c r="HW102" s="744"/>
      <c r="HX102" s="744"/>
      <c r="HY102" s="744"/>
      <c r="HZ102" s="744"/>
      <c r="IA102" s="744"/>
      <c r="IB102" s="744"/>
      <c r="IC102" s="744"/>
      <c r="ID102" s="744"/>
      <c r="IE102" s="744"/>
      <c r="IF102" s="744"/>
      <c r="IG102" s="744"/>
      <c r="IH102" s="744"/>
      <c r="II102" s="744"/>
      <c r="IJ102" s="744"/>
      <c r="IK102" s="744"/>
      <c r="IL102" s="744"/>
      <c r="IM102" s="744"/>
      <c r="IN102" s="744"/>
      <c r="IO102" s="744"/>
      <c r="IP102" s="744"/>
      <c r="IQ102" s="744"/>
      <c r="IR102" s="744"/>
      <c r="IS102" s="744"/>
    </row>
    <row r="103" s="73" customFormat="1" ht="15" spans="1:253">
      <c r="A103" s="709" t="s">
        <v>90</v>
      </c>
      <c r="B103" s="682" t="s">
        <v>202</v>
      </c>
      <c r="C103" s="732" t="s">
        <v>143</v>
      </c>
      <c r="D103" s="729" t="s">
        <v>56</v>
      </c>
      <c r="E103" s="733">
        <f>E102</f>
        <v>10.01</v>
      </c>
      <c r="F103" s="711">
        <f>F96</f>
        <v>143.94</v>
      </c>
      <c r="G103" s="711">
        <f t="shared" si="6"/>
        <v>1440.84</v>
      </c>
      <c r="H103" s="724"/>
      <c r="I103" s="724"/>
      <c r="J103" s="724"/>
      <c r="K103" s="724"/>
      <c r="L103" s="724"/>
      <c r="M103" s="724"/>
      <c r="N103" s="741"/>
      <c r="O103" s="741"/>
      <c r="P103" s="741"/>
      <c r="Q103" s="741"/>
      <c r="R103" s="741"/>
      <c r="S103" s="741"/>
      <c r="T103" s="741"/>
      <c r="U103" s="741"/>
      <c r="V103" s="741"/>
      <c r="W103" s="741"/>
      <c r="X103" s="741"/>
      <c r="Y103" s="741"/>
      <c r="Z103" s="741"/>
      <c r="AA103" s="741"/>
      <c r="AB103" s="741"/>
      <c r="AC103" s="741"/>
      <c r="AD103" s="741"/>
      <c r="AE103" s="741"/>
      <c r="AF103" s="741"/>
      <c r="AG103" s="741"/>
      <c r="AH103" s="741"/>
      <c r="AI103" s="741"/>
      <c r="AJ103" s="741"/>
      <c r="AK103" s="741"/>
      <c r="AL103" s="741"/>
      <c r="AM103" s="741"/>
      <c r="AN103" s="741"/>
      <c r="AO103" s="741"/>
      <c r="AP103" s="741"/>
      <c r="AQ103" s="741"/>
      <c r="AR103" s="741"/>
      <c r="AS103" s="741"/>
      <c r="AT103" s="741"/>
      <c r="AU103" s="741"/>
      <c r="AV103" s="741"/>
      <c r="AW103" s="741"/>
      <c r="AX103" s="741"/>
      <c r="AY103" s="741"/>
      <c r="AZ103" s="741"/>
      <c r="BA103" s="741"/>
      <c r="BB103" s="741"/>
      <c r="BC103" s="741"/>
      <c r="BD103" s="741"/>
      <c r="BE103" s="741"/>
      <c r="BF103" s="741"/>
      <c r="BG103" s="741"/>
      <c r="BH103" s="741"/>
      <c r="BI103" s="741"/>
      <c r="BJ103" s="741"/>
      <c r="BK103" s="741"/>
      <c r="BL103" s="741"/>
      <c r="BM103" s="741"/>
      <c r="BN103" s="741"/>
      <c r="BO103" s="741"/>
      <c r="BP103" s="741"/>
      <c r="BQ103" s="741"/>
      <c r="BR103" s="741"/>
      <c r="BS103" s="741"/>
      <c r="BT103" s="741"/>
      <c r="BU103" s="741"/>
      <c r="BV103" s="741"/>
      <c r="BW103" s="744"/>
      <c r="BX103" s="744"/>
      <c r="BY103" s="744"/>
      <c r="BZ103" s="744"/>
      <c r="CA103" s="744"/>
      <c r="CB103" s="744"/>
      <c r="CC103" s="744"/>
      <c r="CD103" s="744"/>
      <c r="CE103" s="744"/>
      <c r="CF103" s="744"/>
      <c r="CG103" s="744"/>
      <c r="CH103" s="744"/>
      <c r="CI103" s="744"/>
      <c r="CJ103" s="744"/>
      <c r="CK103" s="744"/>
      <c r="CL103" s="744"/>
      <c r="CM103" s="744"/>
      <c r="CN103" s="744"/>
      <c r="CO103" s="744"/>
      <c r="CP103" s="744"/>
      <c r="CQ103" s="744"/>
      <c r="CR103" s="744"/>
      <c r="CS103" s="744"/>
      <c r="CT103" s="744"/>
      <c r="CU103" s="744"/>
      <c r="CV103" s="744"/>
      <c r="CW103" s="744"/>
      <c r="CX103" s="744"/>
      <c r="CY103" s="744"/>
      <c r="CZ103" s="744"/>
      <c r="DA103" s="744"/>
      <c r="DB103" s="744"/>
      <c r="DC103" s="744"/>
      <c r="DD103" s="744"/>
      <c r="DE103" s="744"/>
      <c r="DF103" s="744"/>
      <c r="DG103" s="744"/>
      <c r="DH103" s="744"/>
      <c r="DI103" s="744"/>
      <c r="DJ103" s="744"/>
      <c r="DK103" s="744"/>
      <c r="DL103" s="744"/>
      <c r="DM103" s="744"/>
      <c r="DN103" s="744"/>
      <c r="DO103" s="744"/>
      <c r="DP103" s="744"/>
      <c r="DQ103" s="744"/>
      <c r="DR103" s="744"/>
      <c r="DS103" s="744"/>
      <c r="DT103" s="744"/>
      <c r="DU103" s="744"/>
      <c r="DV103" s="744"/>
      <c r="DW103" s="744"/>
      <c r="DX103" s="744"/>
      <c r="DY103" s="744"/>
      <c r="DZ103" s="744"/>
      <c r="EA103" s="744"/>
      <c r="EB103" s="744"/>
      <c r="EC103" s="744"/>
      <c r="ED103" s="744"/>
      <c r="EE103" s="744"/>
      <c r="EF103" s="744"/>
      <c r="EG103" s="744"/>
      <c r="EH103" s="744"/>
      <c r="EI103" s="744"/>
      <c r="EJ103" s="744"/>
      <c r="EK103" s="744"/>
      <c r="EL103" s="744"/>
      <c r="EM103" s="744"/>
      <c r="EN103" s="744"/>
      <c r="EO103" s="744"/>
      <c r="EP103" s="744"/>
      <c r="EQ103" s="744"/>
      <c r="ER103" s="744"/>
      <c r="ES103" s="744"/>
      <c r="ET103" s="744"/>
      <c r="EU103" s="744"/>
      <c r="EV103" s="744"/>
      <c r="EW103" s="744"/>
      <c r="EX103" s="744"/>
      <c r="EY103" s="744"/>
      <c r="EZ103" s="744"/>
      <c r="FA103" s="744"/>
      <c r="FB103" s="744"/>
      <c r="FC103" s="744"/>
      <c r="FD103" s="744"/>
      <c r="FE103" s="744"/>
      <c r="FF103" s="744"/>
      <c r="FG103" s="744"/>
      <c r="FH103" s="744"/>
      <c r="FI103" s="744"/>
      <c r="FJ103" s="744"/>
      <c r="FK103" s="744"/>
      <c r="FL103" s="744"/>
      <c r="FM103" s="744"/>
      <c r="FN103" s="744"/>
      <c r="FO103" s="744"/>
      <c r="FP103" s="744"/>
      <c r="FQ103" s="744"/>
      <c r="FR103" s="744"/>
      <c r="FS103" s="744"/>
      <c r="FT103" s="744"/>
      <c r="FU103" s="744"/>
      <c r="FV103" s="744"/>
      <c r="FW103" s="744"/>
      <c r="FX103" s="744"/>
      <c r="FY103" s="744"/>
      <c r="FZ103" s="744"/>
      <c r="GA103" s="744"/>
      <c r="GB103" s="744"/>
      <c r="GC103" s="744"/>
      <c r="GD103" s="744"/>
      <c r="GE103" s="744"/>
      <c r="GF103" s="744"/>
      <c r="GG103" s="744"/>
      <c r="GH103" s="744"/>
      <c r="GI103" s="744"/>
      <c r="GJ103" s="744"/>
      <c r="GK103" s="744"/>
      <c r="GL103" s="744"/>
      <c r="GM103" s="744"/>
      <c r="GN103" s="744"/>
      <c r="GO103" s="744"/>
      <c r="GP103" s="744"/>
      <c r="GQ103" s="744"/>
      <c r="GR103" s="744"/>
      <c r="GS103" s="744"/>
      <c r="GT103" s="744"/>
      <c r="GU103" s="744"/>
      <c r="GV103" s="744"/>
      <c r="GW103" s="744"/>
      <c r="GX103" s="744"/>
      <c r="GY103" s="744"/>
      <c r="GZ103" s="744"/>
      <c r="HA103" s="744"/>
      <c r="HB103" s="744"/>
      <c r="HC103" s="744"/>
      <c r="HD103" s="744"/>
      <c r="HE103" s="744"/>
      <c r="HF103" s="744"/>
      <c r="HG103" s="744"/>
      <c r="HH103" s="744"/>
      <c r="HI103" s="744"/>
      <c r="HJ103" s="744"/>
      <c r="HK103" s="744"/>
      <c r="HL103" s="744"/>
      <c r="HM103" s="744"/>
      <c r="HN103" s="744"/>
      <c r="HO103" s="744"/>
      <c r="HP103" s="744"/>
      <c r="HQ103" s="744"/>
      <c r="HR103" s="744"/>
      <c r="HS103" s="744"/>
      <c r="HT103" s="744"/>
      <c r="HU103" s="744"/>
      <c r="HV103" s="744"/>
      <c r="HW103" s="744"/>
      <c r="HX103" s="744"/>
      <c r="HY103" s="744"/>
      <c r="HZ103" s="744"/>
      <c r="IA103" s="744"/>
      <c r="IB103" s="744"/>
      <c r="IC103" s="744"/>
      <c r="ID103" s="744"/>
      <c r="IE103" s="744"/>
      <c r="IF103" s="744"/>
      <c r="IG103" s="744"/>
      <c r="IH103" s="744"/>
      <c r="II103" s="744"/>
      <c r="IJ103" s="744"/>
      <c r="IK103" s="744"/>
      <c r="IL103" s="744"/>
      <c r="IM103" s="744"/>
      <c r="IN103" s="744"/>
      <c r="IO103" s="744"/>
      <c r="IP103" s="744"/>
      <c r="IQ103" s="744"/>
      <c r="IR103" s="744"/>
      <c r="IS103" s="744"/>
    </row>
    <row r="104" s="73" customFormat="1" ht="15" spans="1:253">
      <c r="A104" s="709" t="s">
        <v>203</v>
      </c>
      <c r="B104" s="682" t="s">
        <v>204</v>
      </c>
      <c r="C104" s="732" t="s">
        <v>193</v>
      </c>
      <c r="D104" s="729" t="s">
        <v>17</v>
      </c>
      <c r="E104" s="733">
        <f>162.85</f>
        <v>162.85</v>
      </c>
      <c r="F104" s="711">
        <v>73.63</v>
      </c>
      <c r="G104" s="711">
        <f t="shared" si="6"/>
        <v>11990.65</v>
      </c>
      <c r="H104" s="724"/>
      <c r="I104" s="724"/>
      <c r="J104" s="724"/>
      <c r="K104" s="724"/>
      <c r="L104" s="724"/>
      <c r="M104" s="724"/>
      <c r="N104" s="741"/>
      <c r="O104" s="741"/>
      <c r="P104" s="741"/>
      <c r="Q104" s="741"/>
      <c r="R104" s="741"/>
      <c r="S104" s="741"/>
      <c r="T104" s="741"/>
      <c r="U104" s="741"/>
      <c r="V104" s="741"/>
      <c r="W104" s="741"/>
      <c r="X104" s="741"/>
      <c r="Y104" s="741"/>
      <c r="Z104" s="741"/>
      <c r="AA104" s="741"/>
      <c r="AB104" s="741"/>
      <c r="AC104" s="741"/>
      <c r="AD104" s="741"/>
      <c r="AE104" s="741"/>
      <c r="AF104" s="741"/>
      <c r="AG104" s="741"/>
      <c r="AH104" s="741"/>
      <c r="AI104" s="741"/>
      <c r="AJ104" s="741"/>
      <c r="AK104" s="741"/>
      <c r="AL104" s="741"/>
      <c r="AM104" s="741"/>
      <c r="AN104" s="741"/>
      <c r="AO104" s="741"/>
      <c r="AP104" s="741"/>
      <c r="AQ104" s="741"/>
      <c r="AR104" s="741"/>
      <c r="AS104" s="741"/>
      <c r="AT104" s="741"/>
      <c r="AU104" s="741"/>
      <c r="AV104" s="741"/>
      <c r="AW104" s="741"/>
      <c r="AX104" s="741"/>
      <c r="AY104" s="741"/>
      <c r="AZ104" s="741"/>
      <c r="BA104" s="741"/>
      <c r="BB104" s="741"/>
      <c r="BC104" s="741"/>
      <c r="BD104" s="741"/>
      <c r="BE104" s="741"/>
      <c r="BF104" s="741"/>
      <c r="BG104" s="741"/>
      <c r="BH104" s="741"/>
      <c r="BI104" s="741"/>
      <c r="BJ104" s="741"/>
      <c r="BK104" s="741"/>
      <c r="BL104" s="741"/>
      <c r="BM104" s="741"/>
      <c r="BN104" s="741"/>
      <c r="BO104" s="741"/>
      <c r="BP104" s="741"/>
      <c r="BQ104" s="741"/>
      <c r="BR104" s="741"/>
      <c r="BS104" s="741"/>
      <c r="BT104" s="741"/>
      <c r="BU104" s="741"/>
      <c r="BV104" s="741"/>
      <c r="BW104" s="744"/>
      <c r="BX104" s="744"/>
      <c r="BY104" s="744"/>
      <c r="BZ104" s="744"/>
      <c r="CA104" s="744"/>
      <c r="CB104" s="744"/>
      <c r="CC104" s="744"/>
      <c r="CD104" s="744"/>
      <c r="CE104" s="744"/>
      <c r="CF104" s="744"/>
      <c r="CG104" s="744"/>
      <c r="CH104" s="744"/>
      <c r="CI104" s="744"/>
      <c r="CJ104" s="744"/>
      <c r="CK104" s="744"/>
      <c r="CL104" s="744"/>
      <c r="CM104" s="744"/>
      <c r="CN104" s="744"/>
      <c r="CO104" s="744"/>
      <c r="CP104" s="744"/>
      <c r="CQ104" s="744"/>
      <c r="CR104" s="744"/>
      <c r="CS104" s="744"/>
      <c r="CT104" s="744"/>
      <c r="CU104" s="744"/>
      <c r="CV104" s="744"/>
      <c r="CW104" s="744"/>
      <c r="CX104" s="744"/>
      <c r="CY104" s="744"/>
      <c r="CZ104" s="744"/>
      <c r="DA104" s="744"/>
      <c r="DB104" s="744"/>
      <c r="DC104" s="744"/>
      <c r="DD104" s="744"/>
      <c r="DE104" s="744"/>
      <c r="DF104" s="744"/>
      <c r="DG104" s="744"/>
      <c r="DH104" s="744"/>
      <c r="DI104" s="744"/>
      <c r="DJ104" s="744"/>
      <c r="DK104" s="744"/>
      <c r="DL104" s="744"/>
      <c r="DM104" s="744"/>
      <c r="DN104" s="744"/>
      <c r="DO104" s="744"/>
      <c r="DP104" s="744"/>
      <c r="DQ104" s="744"/>
      <c r="DR104" s="744"/>
      <c r="DS104" s="744"/>
      <c r="DT104" s="744"/>
      <c r="DU104" s="744"/>
      <c r="DV104" s="744"/>
      <c r="DW104" s="744"/>
      <c r="DX104" s="744"/>
      <c r="DY104" s="744"/>
      <c r="DZ104" s="744"/>
      <c r="EA104" s="744"/>
      <c r="EB104" s="744"/>
      <c r="EC104" s="744"/>
      <c r="ED104" s="744"/>
      <c r="EE104" s="744"/>
      <c r="EF104" s="744"/>
      <c r="EG104" s="744"/>
      <c r="EH104" s="744"/>
      <c r="EI104" s="744"/>
      <c r="EJ104" s="744"/>
      <c r="EK104" s="744"/>
      <c r="EL104" s="744"/>
      <c r="EM104" s="744"/>
      <c r="EN104" s="744"/>
      <c r="EO104" s="744"/>
      <c r="EP104" s="744"/>
      <c r="EQ104" s="744"/>
      <c r="ER104" s="744"/>
      <c r="ES104" s="744"/>
      <c r="ET104" s="744"/>
      <c r="EU104" s="744"/>
      <c r="EV104" s="744"/>
      <c r="EW104" s="744"/>
      <c r="EX104" s="744"/>
      <c r="EY104" s="744"/>
      <c r="EZ104" s="744"/>
      <c r="FA104" s="744"/>
      <c r="FB104" s="744"/>
      <c r="FC104" s="744"/>
      <c r="FD104" s="744"/>
      <c r="FE104" s="744"/>
      <c r="FF104" s="744"/>
      <c r="FG104" s="744"/>
      <c r="FH104" s="744"/>
      <c r="FI104" s="744"/>
      <c r="FJ104" s="744"/>
      <c r="FK104" s="744"/>
      <c r="FL104" s="744"/>
      <c r="FM104" s="744"/>
      <c r="FN104" s="744"/>
      <c r="FO104" s="744"/>
      <c r="FP104" s="744"/>
      <c r="FQ104" s="744"/>
      <c r="FR104" s="744"/>
      <c r="FS104" s="744"/>
      <c r="FT104" s="744"/>
      <c r="FU104" s="744"/>
      <c r="FV104" s="744"/>
      <c r="FW104" s="744"/>
      <c r="FX104" s="744"/>
      <c r="FY104" s="744"/>
      <c r="FZ104" s="744"/>
      <c r="GA104" s="744"/>
      <c r="GB104" s="744"/>
      <c r="GC104" s="744"/>
      <c r="GD104" s="744"/>
      <c r="GE104" s="744"/>
      <c r="GF104" s="744"/>
      <c r="GG104" s="744"/>
      <c r="GH104" s="744"/>
      <c r="GI104" s="744"/>
      <c r="GJ104" s="744"/>
      <c r="GK104" s="744"/>
      <c r="GL104" s="744"/>
      <c r="GM104" s="744"/>
      <c r="GN104" s="744"/>
      <c r="GO104" s="744"/>
      <c r="GP104" s="744"/>
      <c r="GQ104" s="744"/>
      <c r="GR104" s="744"/>
      <c r="GS104" s="744"/>
      <c r="GT104" s="744"/>
      <c r="GU104" s="744"/>
      <c r="GV104" s="744"/>
      <c r="GW104" s="744"/>
      <c r="GX104" s="744"/>
      <c r="GY104" s="744"/>
      <c r="GZ104" s="744"/>
      <c r="HA104" s="744"/>
      <c r="HB104" s="744"/>
      <c r="HC104" s="744"/>
      <c r="HD104" s="744"/>
      <c r="HE104" s="744"/>
      <c r="HF104" s="744"/>
      <c r="HG104" s="744"/>
      <c r="HH104" s="744"/>
      <c r="HI104" s="744"/>
      <c r="HJ104" s="744"/>
      <c r="HK104" s="744"/>
      <c r="HL104" s="744"/>
      <c r="HM104" s="744"/>
      <c r="HN104" s="744"/>
      <c r="HO104" s="744"/>
      <c r="HP104" s="744"/>
      <c r="HQ104" s="744"/>
      <c r="HR104" s="744"/>
      <c r="HS104" s="744"/>
      <c r="HT104" s="744"/>
      <c r="HU104" s="744"/>
      <c r="HV104" s="744"/>
      <c r="HW104" s="744"/>
      <c r="HX104" s="744"/>
      <c r="HY104" s="744"/>
      <c r="HZ104" s="744"/>
      <c r="IA104" s="744"/>
      <c r="IB104" s="744"/>
      <c r="IC104" s="744"/>
      <c r="ID104" s="744"/>
      <c r="IE104" s="744"/>
      <c r="IF104" s="744"/>
      <c r="IG104" s="744"/>
      <c r="IH104" s="744"/>
      <c r="II104" s="744"/>
      <c r="IJ104" s="744"/>
      <c r="IK104" s="744"/>
      <c r="IL104" s="744"/>
      <c r="IM104" s="744"/>
      <c r="IN104" s="744"/>
      <c r="IO104" s="744"/>
      <c r="IP104" s="744"/>
      <c r="IQ104" s="744"/>
      <c r="IR104" s="744"/>
      <c r="IS104" s="744"/>
    </row>
    <row r="105" s="73" customFormat="1" ht="15" spans="1:253">
      <c r="A105" s="709" t="s">
        <v>171</v>
      </c>
      <c r="B105" s="682" t="s">
        <v>205</v>
      </c>
      <c r="C105" s="732" t="s">
        <v>148</v>
      </c>
      <c r="D105" s="729" t="s">
        <v>95</v>
      </c>
      <c r="E105" s="733">
        <f>'PB VI - Memorial'!B151</f>
        <v>0.18</v>
      </c>
      <c r="F105" s="711">
        <v>11.92</v>
      </c>
      <c r="G105" s="711">
        <f t="shared" si="6"/>
        <v>2.15</v>
      </c>
      <c r="H105" s="724"/>
      <c r="I105" s="724"/>
      <c r="J105" s="724"/>
      <c r="K105" s="724"/>
      <c r="L105" s="724"/>
      <c r="M105" s="724"/>
      <c r="N105" s="741"/>
      <c r="O105" s="741"/>
      <c r="P105" s="741"/>
      <c r="Q105" s="741"/>
      <c r="R105" s="741"/>
      <c r="S105" s="741"/>
      <c r="T105" s="741"/>
      <c r="U105" s="741"/>
      <c r="V105" s="741"/>
      <c r="W105" s="741"/>
      <c r="X105" s="741"/>
      <c r="Y105" s="741"/>
      <c r="Z105" s="741"/>
      <c r="AA105" s="741"/>
      <c r="AB105" s="741"/>
      <c r="AC105" s="741"/>
      <c r="AD105" s="741"/>
      <c r="AE105" s="741"/>
      <c r="AF105" s="741"/>
      <c r="AG105" s="741"/>
      <c r="AH105" s="741"/>
      <c r="AI105" s="741"/>
      <c r="AJ105" s="741"/>
      <c r="AK105" s="741"/>
      <c r="AL105" s="741"/>
      <c r="AM105" s="741"/>
      <c r="AN105" s="741"/>
      <c r="AO105" s="741"/>
      <c r="AP105" s="741"/>
      <c r="AQ105" s="741"/>
      <c r="AR105" s="741"/>
      <c r="AS105" s="741"/>
      <c r="AT105" s="741"/>
      <c r="AU105" s="741"/>
      <c r="AV105" s="741"/>
      <c r="AW105" s="741"/>
      <c r="AX105" s="741"/>
      <c r="AY105" s="741"/>
      <c r="AZ105" s="741"/>
      <c r="BA105" s="741"/>
      <c r="BB105" s="741"/>
      <c r="BC105" s="741"/>
      <c r="BD105" s="741"/>
      <c r="BE105" s="741"/>
      <c r="BF105" s="741"/>
      <c r="BG105" s="741"/>
      <c r="BH105" s="741"/>
      <c r="BI105" s="741"/>
      <c r="BJ105" s="741"/>
      <c r="BK105" s="741"/>
      <c r="BL105" s="741"/>
      <c r="BM105" s="741"/>
      <c r="BN105" s="741"/>
      <c r="BO105" s="741"/>
      <c r="BP105" s="741"/>
      <c r="BQ105" s="741"/>
      <c r="BR105" s="741"/>
      <c r="BS105" s="741"/>
      <c r="BT105" s="741"/>
      <c r="BU105" s="741"/>
      <c r="BV105" s="741"/>
      <c r="BW105" s="744"/>
      <c r="BX105" s="744"/>
      <c r="BY105" s="744"/>
      <c r="BZ105" s="744"/>
      <c r="CA105" s="744"/>
      <c r="CB105" s="744"/>
      <c r="CC105" s="744"/>
      <c r="CD105" s="744"/>
      <c r="CE105" s="744"/>
      <c r="CF105" s="744"/>
      <c r="CG105" s="744"/>
      <c r="CH105" s="744"/>
      <c r="CI105" s="744"/>
      <c r="CJ105" s="744"/>
      <c r="CK105" s="744"/>
      <c r="CL105" s="744"/>
      <c r="CM105" s="744"/>
      <c r="CN105" s="744"/>
      <c r="CO105" s="744"/>
      <c r="CP105" s="744"/>
      <c r="CQ105" s="744"/>
      <c r="CR105" s="744"/>
      <c r="CS105" s="744"/>
      <c r="CT105" s="744"/>
      <c r="CU105" s="744"/>
      <c r="CV105" s="744"/>
      <c r="CW105" s="744"/>
      <c r="CX105" s="744"/>
      <c r="CY105" s="744"/>
      <c r="CZ105" s="744"/>
      <c r="DA105" s="744"/>
      <c r="DB105" s="744"/>
      <c r="DC105" s="744"/>
      <c r="DD105" s="744"/>
      <c r="DE105" s="744"/>
      <c r="DF105" s="744"/>
      <c r="DG105" s="744"/>
      <c r="DH105" s="744"/>
      <c r="DI105" s="744"/>
      <c r="DJ105" s="744"/>
      <c r="DK105" s="744"/>
      <c r="DL105" s="744"/>
      <c r="DM105" s="744"/>
      <c r="DN105" s="744"/>
      <c r="DO105" s="744"/>
      <c r="DP105" s="744"/>
      <c r="DQ105" s="744"/>
      <c r="DR105" s="744"/>
      <c r="DS105" s="744"/>
      <c r="DT105" s="744"/>
      <c r="DU105" s="744"/>
      <c r="DV105" s="744"/>
      <c r="DW105" s="744"/>
      <c r="DX105" s="744"/>
      <c r="DY105" s="744"/>
      <c r="DZ105" s="744"/>
      <c r="EA105" s="744"/>
      <c r="EB105" s="744"/>
      <c r="EC105" s="744"/>
      <c r="ED105" s="744"/>
      <c r="EE105" s="744"/>
      <c r="EF105" s="744"/>
      <c r="EG105" s="744"/>
      <c r="EH105" s="744"/>
      <c r="EI105" s="744"/>
      <c r="EJ105" s="744"/>
      <c r="EK105" s="744"/>
      <c r="EL105" s="744"/>
      <c r="EM105" s="744"/>
      <c r="EN105" s="744"/>
      <c r="EO105" s="744"/>
      <c r="EP105" s="744"/>
      <c r="EQ105" s="744"/>
      <c r="ER105" s="744"/>
      <c r="ES105" s="744"/>
      <c r="ET105" s="744"/>
      <c r="EU105" s="744"/>
      <c r="EV105" s="744"/>
      <c r="EW105" s="744"/>
      <c r="EX105" s="744"/>
      <c r="EY105" s="744"/>
      <c r="EZ105" s="744"/>
      <c r="FA105" s="744"/>
      <c r="FB105" s="744"/>
      <c r="FC105" s="744"/>
      <c r="FD105" s="744"/>
      <c r="FE105" s="744"/>
      <c r="FF105" s="744"/>
      <c r="FG105" s="744"/>
      <c r="FH105" s="744"/>
      <c r="FI105" s="744"/>
      <c r="FJ105" s="744"/>
      <c r="FK105" s="744"/>
      <c r="FL105" s="744"/>
      <c r="FM105" s="744"/>
      <c r="FN105" s="744"/>
      <c r="FO105" s="744"/>
      <c r="FP105" s="744"/>
      <c r="FQ105" s="744"/>
      <c r="FR105" s="744"/>
      <c r="FS105" s="744"/>
      <c r="FT105" s="744"/>
      <c r="FU105" s="744"/>
      <c r="FV105" s="744"/>
      <c r="FW105" s="744"/>
      <c r="FX105" s="744"/>
      <c r="FY105" s="744"/>
      <c r="FZ105" s="744"/>
      <c r="GA105" s="744"/>
      <c r="GB105" s="744"/>
      <c r="GC105" s="744"/>
      <c r="GD105" s="744"/>
      <c r="GE105" s="744"/>
      <c r="GF105" s="744"/>
      <c r="GG105" s="744"/>
      <c r="GH105" s="744"/>
      <c r="GI105" s="744"/>
      <c r="GJ105" s="744"/>
      <c r="GK105" s="744"/>
      <c r="GL105" s="744"/>
      <c r="GM105" s="744"/>
      <c r="GN105" s="744"/>
      <c r="GO105" s="744"/>
      <c r="GP105" s="744"/>
      <c r="GQ105" s="744"/>
      <c r="GR105" s="744"/>
      <c r="GS105" s="744"/>
      <c r="GT105" s="744"/>
      <c r="GU105" s="744"/>
      <c r="GV105" s="744"/>
      <c r="GW105" s="744"/>
      <c r="GX105" s="744"/>
      <c r="GY105" s="744"/>
      <c r="GZ105" s="744"/>
      <c r="HA105" s="744"/>
      <c r="HB105" s="744"/>
      <c r="HC105" s="744"/>
      <c r="HD105" s="744"/>
      <c r="HE105" s="744"/>
      <c r="HF105" s="744"/>
      <c r="HG105" s="744"/>
      <c r="HH105" s="744"/>
      <c r="HI105" s="744"/>
      <c r="HJ105" s="744"/>
      <c r="HK105" s="744"/>
      <c r="HL105" s="744"/>
      <c r="HM105" s="744"/>
      <c r="HN105" s="744"/>
      <c r="HO105" s="744"/>
      <c r="HP105" s="744"/>
      <c r="HQ105" s="744"/>
      <c r="HR105" s="744"/>
      <c r="HS105" s="744"/>
      <c r="HT105" s="744"/>
      <c r="HU105" s="744"/>
      <c r="HV105" s="744"/>
      <c r="HW105" s="744"/>
      <c r="HX105" s="744"/>
      <c r="HY105" s="744"/>
      <c r="HZ105" s="744"/>
      <c r="IA105" s="744"/>
      <c r="IB105" s="744"/>
      <c r="IC105" s="744"/>
      <c r="ID105" s="744"/>
      <c r="IE105" s="744"/>
      <c r="IF105" s="744"/>
      <c r="IG105" s="744"/>
      <c r="IH105" s="744"/>
      <c r="II105" s="744"/>
      <c r="IJ105" s="744"/>
      <c r="IK105" s="744"/>
      <c r="IL105" s="744"/>
      <c r="IM105" s="744"/>
      <c r="IN105" s="744"/>
      <c r="IO105" s="744"/>
      <c r="IP105" s="744"/>
      <c r="IQ105" s="744"/>
      <c r="IR105" s="744"/>
      <c r="IS105" s="744"/>
    </row>
    <row r="106" s="73" customFormat="1" ht="15" spans="1:253">
      <c r="A106" s="709" t="s">
        <v>174</v>
      </c>
      <c r="B106" s="682" t="s">
        <v>206</v>
      </c>
      <c r="C106" s="732" t="s">
        <v>151</v>
      </c>
      <c r="D106" s="729" t="s">
        <v>95</v>
      </c>
      <c r="E106" s="733">
        <f>'PB VI - Memorial'!C151</f>
        <v>286.73</v>
      </c>
      <c r="F106" s="711">
        <v>11.16</v>
      </c>
      <c r="G106" s="711">
        <f t="shared" si="6"/>
        <v>3199.91</v>
      </c>
      <c r="H106" s="724"/>
      <c r="I106" s="724"/>
      <c r="J106" s="724"/>
      <c r="K106" s="724"/>
      <c r="L106" s="724"/>
      <c r="M106" s="724"/>
      <c r="N106" s="741"/>
      <c r="O106" s="741"/>
      <c r="P106" s="741"/>
      <c r="Q106" s="741"/>
      <c r="R106" s="741"/>
      <c r="S106" s="741"/>
      <c r="T106" s="741"/>
      <c r="U106" s="741"/>
      <c r="V106" s="741"/>
      <c r="W106" s="741"/>
      <c r="X106" s="741"/>
      <c r="Y106" s="741"/>
      <c r="Z106" s="741"/>
      <c r="AA106" s="741"/>
      <c r="AB106" s="741"/>
      <c r="AC106" s="741"/>
      <c r="AD106" s="741"/>
      <c r="AE106" s="741"/>
      <c r="AF106" s="741"/>
      <c r="AG106" s="741"/>
      <c r="AH106" s="741"/>
      <c r="AI106" s="741"/>
      <c r="AJ106" s="741"/>
      <c r="AK106" s="741"/>
      <c r="AL106" s="741"/>
      <c r="AM106" s="741"/>
      <c r="AN106" s="741"/>
      <c r="AO106" s="741"/>
      <c r="AP106" s="741"/>
      <c r="AQ106" s="741"/>
      <c r="AR106" s="741"/>
      <c r="AS106" s="741"/>
      <c r="AT106" s="741"/>
      <c r="AU106" s="741"/>
      <c r="AV106" s="741"/>
      <c r="AW106" s="741"/>
      <c r="AX106" s="741"/>
      <c r="AY106" s="741"/>
      <c r="AZ106" s="741"/>
      <c r="BA106" s="741"/>
      <c r="BB106" s="741"/>
      <c r="BC106" s="741"/>
      <c r="BD106" s="741"/>
      <c r="BE106" s="741"/>
      <c r="BF106" s="741"/>
      <c r="BG106" s="741"/>
      <c r="BH106" s="741"/>
      <c r="BI106" s="741"/>
      <c r="BJ106" s="741"/>
      <c r="BK106" s="741"/>
      <c r="BL106" s="741"/>
      <c r="BM106" s="741"/>
      <c r="BN106" s="741"/>
      <c r="BO106" s="741"/>
      <c r="BP106" s="741"/>
      <c r="BQ106" s="741"/>
      <c r="BR106" s="741"/>
      <c r="BS106" s="741"/>
      <c r="BT106" s="741"/>
      <c r="BU106" s="741"/>
      <c r="BV106" s="741"/>
      <c r="BW106" s="744"/>
      <c r="BX106" s="744"/>
      <c r="BY106" s="744"/>
      <c r="BZ106" s="744"/>
      <c r="CA106" s="744"/>
      <c r="CB106" s="744"/>
      <c r="CC106" s="744"/>
      <c r="CD106" s="744"/>
      <c r="CE106" s="744"/>
      <c r="CF106" s="744"/>
      <c r="CG106" s="744"/>
      <c r="CH106" s="744"/>
      <c r="CI106" s="744"/>
      <c r="CJ106" s="744"/>
      <c r="CK106" s="744"/>
      <c r="CL106" s="744"/>
      <c r="CM106" s="744"/>
      <c r="CN106" s="744"/>
      <c r="CO106" s="744"/>
      <c r="CP106" s="744"/>
      <c r="CQ106" s="744"/>
      <c r="CR106" s="744"/>
      <c r="CS106" s="744"/>
      <c r="CT106" s="744"/>
      <c r="CU106" s="744"/>
      <c r="CV106" s="744"/>
      <c r="CW106" s="744"/>
      <c r="CX106" s="744"/>
      <c r="CY106" s="744"/>
      <c r="CZ106" s="744"/>
      <c r="DA106" s="744"/>
      <c r="DB106" s="744"/>
      <c r="DC106" s="744"/>
      <c r="DD106" s="744"/>
      <c r="DE106" s="744"/>
      <c r="DF106" s="744"/>
      <c r="DG106" s="744"/>
      <c r="DH106" s="744"/>
      <c r="DI106" s="744"/>
      <c r="DJ106" s="744"/>
      <c r="DK106" s="744"/>
      <c r="DL106" s="744"/>
      <c r="DM106" s="744"/>
      <c r="DN106" s="744"/>
      <c r="DO106" s="744"/>
      <c r="DP106" s="744"/>
      <c r="DQ106" s="744"/>
      <c r="DR106" s="744"/>
      <c r="DS106" s="744"/>
      <c r="DT106" s="744"/>
      <c r="DU106" s="744"/>
      <c r="DV106" s="744"/>
      <c r="DW106" s="744"/>
      <c r="DX106" s="744"/>
      <c r="DY106" s="744"/>
      <c r="DZ106" s="744"/>
      <c r="EA106" s="744"/>
      <c r="EB106" s="744"/>
      <c r="EC106" s="744"/>
      <c r="ED106" s="744"/>
      <c r="EE106" s="744"/>
      <c r="EF106" s="744"/>
      <c r="EG106" s="744"/>
      <c r="EH106" s="744"/>
      <c r="EI106" s="744"/>
      <c r="EJ106" s="744"/>
      <c r="EK106" s="744"/>
      <c r="EL106" s="744"/>
      <c r="EM106" s="744"/>
      <c r="EN106" s="744"/>
      <c r="EO106" s="744"/>
      <c r="EP106" s="744"/>
      <c r="EQ106" s="744"/>
      <c r="ER106" s="744"/>
      <c r="ES106" s="744"/>
      <c r="ET106" s="744"/>
      <c r="EU106" s="744"/>
      <c r="EV106" s="744"/>
      <c r="EW106" s="744"/>
      <c r="EX106" s="744"/>
      <c r="EY106" s="744"/>
      <c r="EZ106" s="744"/>
      <c r="FA106" s="744"/>
      <c r="FB106" s="744"/>
      <c r="FC106" s="744"/>
      <c r="FD106" s="744"/>
      <c r="FE106" s="744"/>
      <c r="FF106" s="744"/>
      <c r="FG106" s="744"/>
      <c r="FH106" s="744"/>
      <c r="FI106" s="744"/>
      <c r="FJ106" s="744"/>
      <c r="FK106" s="744"/>
      <c r="FL106" s="744"/>
      <c r="FM106" s="744"/>
      <c r="FN106" s="744"/>
      <c r="FO106" s="744"/>
      <c r="FP106" s="744"/>
      <c r="FQ106" s="744"/>
      <c r="FR106" s="744"/>
      <c r="FS106" s="744"/>
      <c r="FT106" s="744"/>
      <c r="FU106" s="744"/>
      <c r="FV106" s="744"/>
      <c r="FW106" s="744"/>
      <c r="FX106" s="744"/>
      <c r="FY106" s="744"/>
      <c r="FZ106" s="744"/>
      <c r="GA106" s="744"/>
      <c r="GB106" s="744"/>
      <c r="GC106" s="744"/>
      <c r="GD106" s="744"/>
      <c r="GE106" s="744"/>
      <c r="GF106" s="744"/>
      <c r="GG106" s="744"/>
      <c r="GH106" s="744"/>
      <c r="GI106" s="744"/>
      <c r="GJ106" s="744"/>
      <c r="GK106" s="744"/>
      <c r="GL106" s="744"/>
      <c r="GM106" s="744"/>
      <c r="GN106" s="744"/>
      <c r="GO106" s="744"/>
      <c r="GP106" s="744"/>
      <c r="GQ106" s="744"/>
      <c r="GR106" s="744"/>
      <c r="GS106" s="744"/>
      <c r="GT106" s="744"/>
      <c r="GU106" s="744"/>
      <c r="GV106" s="744"/>
      <c r="GW106" s="744"/>
      <c r="GX106" s="744"/>
      <c r="GY106" s="744"/>
      <c r="GZ106" s="744"/>
      <c r="HA106" s="744"/>
      <c r="HB106" s="744"/>
      <c r="HC106" s="744"/>
      <c r="HD106" s="744"/>
      <c r="HE106" s="744"/>
      <c r="HF106" s="744"/>
      <c r="HG106" s="744"/>
      <c r="HH106" s="744"/>
      <c r="HI106" s="744"/>
      <c r="HJ106" s="744"/>
      <c r="HK106" s="744"/>
      <c r="HL106" s="744"/>
      <c r="HM106" s="744"/>
      <c r="HN106" s="744"/>
      <c r="HO106" s="744"/>
      <c r="HP106" s="744"/>
      <c r="HQ106" s="744"/>
      <c r="HR106" s="744"/>
      <c r="HS106" s="744"/>
      <c r="HT106" s="744"/>
      <c r="HU106" s="744"/>
      <c r="HV106" s="744"/>
      <c r="HW106" s="744"/>
      <c r="HX106" s="744"/>
      <c r="HY106" s="744"/>
      <c r="HZ106" s="744"/>
      <c r="IA106" s="744"/>
      <c r="IB106" s="744"/>
      <c r="IC106" s="744"/>
      <c r="ID106" s="744"/>
      <c r="IE106" s="744"/>
      <c r="IF106" s="744"/>
      <c r="IG106" s="744"/>
      <c r="IH106" s="744"/>
      <c r="II106" s="744"/>
      <c r="IJ106" s="744"/>
      <c r="IK106" s="744"/>
      <c r="IL106" s="744"/>
      <c r="IM106" s="744"/>
      <c r="IN106" s="744"/>
      <c r="IO106" s="744"/>
      <c r="IP106" s="744"/>
      <c r="IQ106" s="744"/>
      <c r="IR106" s="744"/>
      <c r="IS106" s="744"/>
    </row>
    <row r="107" s="73" customFormat="1" ht="15" spans="1:253">
      <c r="A107" s="709" t="s">
        <v>177</v>
      </c>
      <c r="B107" s="682" t="s">
        <v>207</v>
      </c>
      <c r="C107" s="732" t="s">
        <v>154</v>
      </c>
      <c r="D107" s="729" t="s">
        <v>95</v>
      </c>
      <c r="E107" s="733">
        <f>'PB VI - Memorial'!D151</f>
        <v>82.45</v>
      </c>
      <c r="F107" s="711">
        <v>8.97</v>
      </c>
      <c r="G107" s="711">
        <f t="shared" si="6"/>
        <v>739.58</v>
      </c>
      <c r="H107" s="724"/>
      <c r="I107" s="724"/>
      <c r="J107" s="724"/>
      <c r="K107" s="724"/>
      <c r="L107" s="724"/>
      <c r="M107" s="724"/>
      <c r="N107" s="741"/>
      <c r="O107" s="741"/>
      <c r="P107" s="741"/>
      <c r="Q107" s="741"/>
      <c r="R107" s="741"/>
      <c r="S107" s="741"/>
      <c r="T107" s="741"/>
      <c r="U107" s="741"/>
      <c r="V107" s="741"/>
      <c r="W107" s="741"/>
      <c r="X107" s="741"/>
      <c r="Y107" s="741"/>
      <c r="Z107" s="741"/>
      <c r="AA107" s="741"/>
      <c r="AB107" s="741"/>
      <c r="AC107" s="741"/>
      <c r="AD107" s="741"/>
      <c r="AE107" s="741"/>
      <c r="AF107" s="741"/>
      <c r="AG107" s="741"/>
      <c r="AH107" s="741"/>
      <c r="AI107" s="741"/>
      <c r="AJ107" s="741"/>
      <c r="AK107" s="741"/>
      <c r="AL107" s="741"/>
      <c r="AM107" s="741"/>
      <c r="AN107" s="741"/>
      <c r="AO107" s="741"/>
      <c r="AP107" s="741"/>
      <c r="AQ107" s="741"/>
      <c r="AR107" s="741"/>
      <c r="AS107" s="741"/>
      <c r="AT107" s="741"/>
      <c r="AU107" s="741"/>
      <c r="AV107" s="741"/>
      <c r="AW107" s="741"/>
      <c r="AX107" s="741"/>
      <c r="AY107" s="741"/>
      <c r="AZ107" s="741"/>
      <c r="BA107" s="741"/>
      <c r="BB107" s="741"/>
      <c r="BC107" s="741"/>
      <c r="BD107" s="741"/>
      <c r="BE107" s="741"/>
      <c r="BF107" s="741"/>
      <c r="BG107" s="741"/>
      <c r="BH107" s="741"/>
      <c r="BI107" s="741"/>
      <c r="BJ107" s="741"/>
      <c r="BK107" s="741"/>
      <c r="BL107" s="741"/>
      <c r="BM107" s="741"/>
      <c r="BN107" s="741"/>
      <c r="BO107" s="741"/>
      <c r="BP107" s="741"/>
      <c r="BQ107" s="741"/>
      <c r="BR107" s="741"/>
      <c r="BS107" s="741"/>
      <c r="BT107" s="741"/>
      <c r="BU107" s="741"/>
      <c r="BV107" s="741"/>
      <c r="BW107" s="744"/>
      <c r="BX107" s="744"/>
      <c r="BY107" s="744"/>
      <c r="BZ107" s="744"/>
      <c r="CA107" s="744"/>
      <c r="CB107" s="744"/>
      <c r="CC107" s="744"/>
      <c r="CD107" s="744"/>
      <c r="CE107" s="744"/>
      <c r="CF107" s="744"/>
      <c r="CG107" s="744"/>
      <c r="CH107" s="744"/>
      <c r="CI107" s="744"/>
      <c r="CJ107" s="744"/>
      <c r="CK107" s="744"/>
      <c r="CL107" s="744"/>
      <c r="CM107" s="744"/>
      <c r="CN107" s="744"/>
      <c r="CO107" s="744"/>
      <c r="CP107" s="744"/>
      <c r="CQ107" s="744"/>
      <c r="CR107" s="744"/>
      <c r="CS107" s="744"/>
      <c r="CT107" s="744"/>
      <c r="CU107" s="744"/>
      <c r="CV107" s="744"/>
      <c r="CW107" s="744"/>
      <c r="CX107" s="744"/>
      <c r="CY107" s="744"/>
      <c r="CZ107" s="744"/>
      <c r="DA107" s="744"/>
      <c r="DB107" s="744"/>
      <c r="DC107" s="744"/>
      <c r="DD107" s="744"/>
      <c r="DE107" s="744"/>
      <c r="DF107" s="744"/>
      <c r="DG107" s="744"/>
      <c r="DH107" s="744"/>
      <c r="DI107" s="744"/>
      <c r="DJ107" s="744"/>
      <c r="DK107" s="744"/>
      <c r="DL107" s="744"/>
      <c r="DM107" s="744"/>
      <c r="DN107" s="744"/>
      <c r="DO107" s="744"/>
      <c r="DP107" s="744"/>
      <c r="DQ107" s="744"/>
      <c r="DR107" s="744"/>
      <c r="DS107" s="744"/>
      <c r="DT107" s="744"/>
      <c r="DU107" s="744"/>
      <c r="DV107" s="744"/>
      <c r="DW107" s="744"/>
      <c r="DX107" s="744"/>
      <c r="DY107" s="744"/>
      <c r="DZ107" s="744"/>
      <c r="EA107" s="744"/>
      <c r="EB107" s="744"/>
      <c r="EC107" s="744"/>
      <c r="ED107" s="744"/>
      <c r="EE107" s="744"/>
      <c r="EF107" s="744"/>
      <c r="EG107" s="744"/>
      <c r="EH107" s="744"/>
      <c r="EI107" s="744"/>
      <c r="EJ107" s="744"/>
      <c r="EK107" s="744"/>
      <c r="EL107" s="744"/>
      <c r="EM107" s="744"/>
      <c r="EN107" s="744"/>
      <c r="EO107" s="744"/>
      <c r="EP107" s="744"/>
      <c r="EQ107" s="744"/>
      <c r="ER107" s="744"/>
      <c r="ES107" s="744"/>
      <c r="ET107" s="744"/>
      <c r="EU107" s="744"/>
      <c r="EV107" s="744"/>
      <c r="EW107" s="744"/>
      <c r="EX107" s="744"/>
      <c r="EY107" s="744"/>
      <c r="EZ107" s="744"/>
      <c r="FA107" s="744"/>
      <c r="FB107" s="744"/>
      <c r="FC107" s="744"/>
      <c r="FD107" s="744"/>
      <c r="FE107" s="744"/>
      <c r="FF107" s="744"/>
      <c r="FG107" s="744"/>
      <c r="FH107" s="744"/>
      <c r="FI107" s="744"/>
      <c r="FJ107" s="744"/>
      <c r="FK107" s="744"/>
      <c r="FL107" s="744"/>
      <c r="FM107" s="744"/>
      <c r="FN107" s="744"/>
      <c r="FO107" s="744"/>
      <c r="FP107" s="744"/>
      <c r="FQ107" s="744"/>
      <c r="FR107" s="744"/>
      <c r="FS107" s="744"/>
      <c r="FT107" s="744"/>
      <c r="FU107" s="744"/>
      <c r="FV107" s="744"/>
      <c r="FW107" s="744"/>
      <c r="FX107" s="744"/>
      <c r="FY107" s="744"/>
      <c r="FZ107" s="744"/>
      <c r="GA107" s="744"/>
      <c r="GB107" s="744"/>
      <c r="GC107" s="744"/>
      <c r="GD107" s="744"/>
      <c r="GE107" s="744"/>
      <c r="GF107" s="744"/>
      <c r="GG107" s="744"/>
      <c r="GH107" s="744"/>
      <c r="GI107" s="744"/>
      <c r="GJ107" s="744"/>
      <c r="GK107" s="744"/>
      <c r="GL107" s="744"/>
      <c r="GM107" s="744"/>
      <c r="GN107" s="744"/>
      <c r="GO107" s="744"/>
      <c r="GP107" s="744"/>
      <c r="GQ107" s="744"/>
      <c r="GR107" s="744"/>
      <c r="GS107" s="744"/>
      <c r="GT107" s="744"/>
      <c r="GU107" s="744"/>
      <c r="GV107" s="744"/>
      <c r="GW107" s="744"/>
      <c r="GX107" s="744"/>
      <c r="GY107" s="744"/>
      <c r="GZ107" s="744"/>
      <c r="HA107" s="744"/>
      <c r="HB107" s="744"/>
      <c r="HC107" s="744"/>
      <c r="HD107" s="744"/>
      <c r="HE107" s="744"/>
      <c r="HF107" s="744"/>
      <c r="HG107" s="744"/>
      <c r="HH107" s="744"/>
      <c r="HI107" s="744"/>
      <c r="HJ107" s="744"/>
      <c r="HK107" s="744"/>
      <c r="HL107" s="744"/>
      <c r="HM107" s="744"/>
      <c r="HN107" s="744"/>
      <c r="HO107" s="744"/>
      <c r="HP107" s="744"/>
      <c r="HQ107" s="744"/>
      <c r="HR107" s="744"/>
      <c r="HS107" s="744"/>
      <c r="HT107" s="744"/>
      <c r="HU107" s="744"/>
      <c r="HV107" s="744"/>
      <c r="HW107" s="744"/>
      <c r="HX107" s="744"/>
      <c r="HY107" s="744"/>
      <c r="HZ107" s="744"/>
      <c r="IA107" s="744"/>
      <c r="IB107" s="744"/>
      <c r="IC107" s="744"/>
      <c r="ID107" s="744"/>
      <c r="IE107" s="744"/>
      <c r="IF107" s="744"/>
      <c r="IG107" s="744"/>
      <c r="IH107" s="744"/>
      <c r="II107" s="744"/>
      <c r="IJ107" s="744"/>
      <c r="IK107" s="744"/>
      <c r="IL107" s="744"/>
      <c r="IM107" s="744"/>
      <c r="IN107" s="744"/>
      <c r="IO107" s="744"/>
      <c r="IP107" s="744"/>
      <c r="IQ107" s="744"/>
      <c r="IR107" s="744"/>
      <c r="IS107" s="744"/>
    </row>
    <row r="108" s="73" customFormat="1" ht="15" spans="1:253">
      <c r="A108" s="709" t="s">
        <v>180</v>
      </c>
      <c r="B108" s="682" t="s">
        <v>208</v>
      </c>
      <c r="C108" s="732" t="s">
        <v>182</v>
      </c>
      <c r="D108" s="729" t="s">
        <v>95</v>
      </c>
      <c r="E108" s="733">
        <f>'PB VI - Memorial'!G151</f>
        <v>136.82</v>
      </c>
      <c r="F108" s="711">
        <v>13.31</v>
      </c>
      <c r="G108" s="711">
        <f t="shared" si="6"/>
        <v>1821.07</v>
      </c>
      <c r="H108" s="724"/>
      <c r="I108" s="724"/>
      <c r="J108" s="724"/>
      <c r="K108" s="724"/>
      <c r="L108" s="724"/>
      <c r="M108" s="724"/>
      <c r="N108" s="741"/>
      <c r="O108" s="741"/>
      <c r="P108" s="741"/>
      <c r="Q108" s="741"/>
      <c r="R108" s="741"/>
      <c r="S108" s="741"/>
      <c r="T108" s="741"/>
      <c r="U108" s="741"/>
      <c r="V108" s="741"/>
      <c r="W108" s="741"/>
      <c r="X108" s="741"/>
      <c r="Y108" s="741"/>
      <c r="Z108" s="741"/>
      <c r="AA108" s="741"/>
      <c r="AB108" s="741"/>
      <c r="AC108" s="741"/>
      <c r="AD108" s="741"/>
      <c r="AE108" s="741"/>
      <c r="AF108" s="741"/>
      <c r="AG108" s="741"/>
      <c r="AH108" s="741"/>
      <c r="AI108" s="741"/>
      <c r="AJ108" s="741"/>
      <c r="AK108" s="741"/>
      <c r="AL108" s="741"/>
      <c r="AM108" s="741"/>
      <c r="AN108" s="741"/>
      <c r="AO108" s="741"/>
      <c r="AP108" s="741"/>
      <c r="AQ108" s="741"/>
      <c r="AR108" s="741"/>
      <c r="AS108" s="741"/>
      <c r="AT108" s="741"/>
      <c r="AU108" s="741"/>
      <c r="AV108" s="741"/>
      <c r="AW108" s="741"/>
      <c r="AX108" s="741"/>
      <c r="AY108" s="741"/>
      <c r="AZ108" s="741"/>
      <c r="BA108" s="741"/>
      <c r="BB108" s="741"/>
      <c r="BC108" s="741"/>
      <c r="BD108" s="741"/>
      <c r="BE108" s="741"/>
      <c r="BF108" s="741"/>
      <c r="BG108" s="741"/>
      <c r="BH108" s="741"/>
      <c r="BI108" s="741"/>
      <c r="BJ108" s="741"/>
      <c r="BK108" s="741"/>
      <c r="BL108" s="741"/>
      <c r="BM108" s="741"/>
      <c r="BN108" s="741"/>
      <c r="BO108" s="741"/>
      <c r="BP108" s="741"/>
      <c r="BQ108" s="741"/>
      <c r="BR108" s="741"/>
      <c r="BS108" s="741"/>
      <c r="BT108" s="741"/>
      <c r="BU108" s="741"/>
      <c r="BV108" s="741"/>
      <c r="BW108" s="744"/>
      <c r="BX108" s="744"/>
      <c r="BY108" s="744"/>
      <c r="BZ108" s="744"/>
      <c r="CA108" s="744"/>
      <c r="CB108" s="744"/>
      <c r="CC108" s="744"/>
      <c r="CD108" s="744"/>
      <c r="CE108" s="744"/>
      <c r="CF108" s="744"/>
      <c r="CG108" s="744"/>
      <c r="CH108" s="744"/>
      <c r="CI108" s="744"/>
      <c r="CJ108" s="744"/>
      <c r="CK108" s="744"/>
      <c r="CL108" s="744"/>
      <c r="CM108" s="744"/>
      <c r="CN108" s="744"/>
      <c r="CO108" s="744"/>
      <c r="CP108" s="744"/>
      <c r="CQ108" s="744"/>
      <c r="CR108" s="744"/>
      <c r="CS108" s="744"/>
      <c r="CT108" s="744"/>
      <c r="CU108" s="744"/>
      <c r="CV108" s="744"/>
      <c r="CW108" s="744"/>
      <c r="CX108" s="744"/>
      <c r="CY108" s="744"/>
      <c r="CZ108" s="744"/>
      <c r="DA108" s="744"/>
      <c r="DB108" s="744"/>
      <c r="DC108" s="744"/>
      <c r="DD108" s="744"/>
      <c r="DE108" s="744"/>
      <c r="DF108" s="744"/>
      <c r="DG108" s="744"/>
      <c r="DH108" s="744"/>
      <c r="DI108" s="744"/>
      <c r="DJ108" s="744"/>
      <c r="DK108" s="744"/>
      <c r="DL108" s="744"/>
      <c r="DM108" s="744"/>
      <c r="DN108" s="744"/>
      <c r="DO108" s="744"/>
      <c r="DP108" s="744"/>
      <c r="DQ108" s="744"/>
      <c r="DR108" s="744"/>
      <c r="DS108" s="744"/>
      <c r="DT108" s="744"/>
      <c r="DU108" s="744"/>
      <c r="DV108" s="744"/>
      <c r="DW108" s="744"/>
      <c r="DX108" s="744"/>
      <c r="DY108" s="744"/>
      <c r="DZ108" s="744"/>
      <c r="EA108" s="744"/>
      <c r="EB108" s="744"/>
      <c r="EC108" s="744"/>
      <c r="ED108" s="744"/>
      <c r="EE108" s="744"/>
      <c r="EF108" s="744"/>
      <c r="EG108" s="744"/>
      <c r="EH108" s="744"/>
      <c r="EI108" s="744"/>
      <c r="EJ108" s="744"/>
      <c r="EK108" s="744"/>
      <c r="EL108" s="744"/>
      <c r="EM108" s="744"/>
      <c r="EN108" s="744"/>
      <c r="EO108" s="744"/>
      <c r="EP108" s="744"/>
      <c r="EQ108" s="744"/>
      <c r="ER108" s="744"/>
      <c r="ES108" s="744"/>
      <c r="ET108" s="744"/>
      <c r="EU108" s="744"/>
      <c r="EV108" s="744"/>
      <c r="EW108" s="744"/>
      <c r="EX108" s="744"/>
      <c r="EY108" s="744"/>
      <c r="EZ108" s="744"/>
      <c r="FA108" s="744"/>
      <c r="FB108" s="744"/>
      <c r="FC108" s="744"/>
      <c r="FD108" s="744"/>
      <c r="FE108" s="744"/>
      <c r="FF108" s="744"/>
      <c r="FG108" s="744"/>
      <c r="FH108" s="744"/>
      <c r="FI108" s="744"/>
      <c r="FJ108" s="744"/>
      <c r="FK108" s="744"/>
      <c r="FL108" s="744"/>
      <c r="FM108" s="744"/>
      <c r="FN108" s="744"/>
      <c r="FO108" s="744"/>
      <c r="FP108" s="744"/>
      <c r="FQ108" s="744"/>
      <c r="FR108" s="744"/>
      <c r="FS108" s="744"/>
      <c r="FT108" s="744"/>
      <c r="FU108" s="744"/>
      <c r="FV108" s="744"/>
      <c r="FW108" s="744"/>
      <c r="FX108" s="744"/>
      <c r="FY108" s="744"/>
      <c r="FZ108" s="744"/>
      <c r="GA108" s="744"/>
      <c r="GB108" s="744"/>
      <c r="GC108" s="744"/>
      <c r="GD108" s="744"/>
      <c r="GE108" s="744"/>
      <c r="GF108" s="744"/>
      <c r="GG108" s="744"/>
      <c r="GH108" s="744"/>
      <c r="GI108" s="744"/>
      <c r="GJ108" s="744"/>
      <c r="GK108" s="744"/>
      <c r="GL108" s="744"/>
      <c r="GM108" s="744"/>
      <c r="GN108" s="744"/>
      <c r="GO108" s="744"/>
      <c r="GP108" s="744"/>
      <c r="GQ108" s="744"/>
      <c r="GR108" s="744"/>
      <c r="GS108" s="744"/>
      <c r="GT108" s="744"/>
      <c r="GU108" s="744"/>
      <c r="GV108" s="744"/>
      <c r="GW108" s="744"/>
      <c r="GX108" s="744"/>
      <c r="GY108" s="744"/>
      <c r="GZ108" s="744"/>
      <c r="HA108" s="744"/>
      <c r="HB108" s="744"/>
      <c r="HC108" s="744"/>
      <c r="HD108" s="744"/>
      <c r="HE108" s="744"/>
      <c r="HF108" s="744"/>
      <c r="HG108" s="744"/>
      <c r="HH108" s="744"/>
      <c r="HI108" s="744"/>
      <c r="HJ108" s="744"/>
      <c r="HK108" s="744"/>
      <c r="HL108" s="744"/>
      <c r="HM108" s="744"/>
      <c r="HN108" s="744"/>
      <c r="HO108" s="744"/>
      <c r="HP108" s="744"/>
      <c r="HQ108" s="744"/>
      <c r="HR108" s="744"/>
      <c r="HS108" s="744"/>
      <c r="HT108" s="744"/>
      <c r="HU108" s="744"/>
      <c r="HV108" s="744"/>
      <c r="HW108" s="744"/>
      <c r="HX108" s="744"/>
      <c r="HY108" s="744"/>
      <c r="HZ108" s="744"/>
      <c r="IA108" s="744"/>
      <c r="IB108" s="744"/>
      <c r="IC108" s="744"/>
      <c r="ID108" s="744"/>
      <c r="IE108" s="744"/>
      <c r="IF108" s="744"/>
      <c r="IG108" s="744"/>
      <c r="IH108" s="744"/>
      <c r="II108" s="744"/>
      <c r="IJ108" s="744"/>
      <c r="IK108" s="744"/>
      <c r="IL108" s="744"/>
      <c r="IM108" s="744"/>
      <c r="IN108" s="744"/>
      <c r="IO108" s="744"/>
      <c r="IP108" s="744"/>
      <c r="IQ108" s="744"/>
      <c r="IR108" s="744"/>
      <c r="IS108" s="744"/>
    </row>
    <row r="109" s="73" customFormat="1" ht="15" spans="1:253">
      <c r="A109" s="734"/>
      <c r="B109" s="735" t="s">
        <v>209</v>
      </c>
      <c r="C109" s="736" t="s">
        <v>210</v>
      </c>
      <c r="D109" s="729"/>
      <c r="E109" s="733"/>
      <c r="F109" s="711"/>
      <c r="G109" s="711"/>
      <c r="H109" s="724"/>
      <c r="I109" s="724"/>
      <c r="J109" s="724"/>
      <c r="K109" s="724"/>
      <c r="L109" s="724"/>
      <c r="M109" s="724"/>
      <c r="N109" s="741"/>
      <c r="O109" s="741"/>
      <c r="P109" s="741"/>
      <c r="Q109" s="741"/>
      <c r="R109" s="741"/>
      <c r="S109" s="741"/>
      <c r="T109" s="741"/>
      <c r="U109" s="741"/>
      <c r="V109" s="741"/>
      <c r="W109" s="741"/>
      <c r="X109" s="741"/>
      <c r="Y109" s="741"/>
      <c r="Z109" s="741"/>
      <c r="AA109" s="741"/>
      <c r="AB109" s="741"/>
      <c r="AC109" s="741"/>
      <c r="AD109" s="741"/>
      <c r="AE109" s="741"/>
      <c r="AF109" s="741"/>
      <c r="AG109" s="741"/>
      <c r="AH109" s="741"/>
      <c r="AI109" s="741"/>
      <c r="AJ109" s="741"/>
      <c r="AK109" s="741"/>
      <c r="AL109" s="741"/>
      <c r="AM109" s="741"/>
      <c r="AN109" s="741"/>
      <c r="AO109" s="741"/>
      <c r="AP109" s="741"/>
      <c r="AQ109" s="741"/>
      <c r="AR109" s="741"/>
      <c r="AS109" s="741"/>
      <c r="AT109" s="741"/>
      <c r="AU109" s="741"/>
      <c r="AV109" s="741"/>
      <c r="AW109" s="741"/>
      <c r="AX109" s="741"/>
      <c r="AY109" s="741"/>
      <c r="AZ109" s="741"/>
      <c r="BA109" s="741"/>
      <c r="BB109" s="741"/>
      <c r="BC109" s="741"/>
      <c r="BD109" s="741"/>
      <c r="BE109" s="741"/>
      <c r="BF109" s="741"/>
      <c r="BG109" s="741"/>
      <c r="BH109" s="741"/>
      <c r="BI109" s="741"/>
      <c r="BJ109" s="741"/>
      <c r="BK109" s="741"/>
      <c r="BL109" s="741"/>
      <c r="BM109" s="741"/>
      <c r="BN109" s="741"/>
      <c r="BO109" s="741"/>
      <c r="BP109" s="741"/>
      <c r="BQ109" s="741"/>
      <c r="BR109" s="741"/>
      <c r="BS109" s="741"/>
      <c r="BT109" s="741"/>
      <c r="BU109" s="741"/>
      <c r="BV109" s="741"/>
      <c r="BW109" s="744"/>
      <c r="BX109" s="744"/>
      <c r="BY109" s="744"/>
      <c r="BZ109" s="744"/>
      <c r="CA109" s="744"/>
      <c r="CB109" s="744"/>
      <c r="CC109" s="744"/>
      <c r="CD109" s="744"/>
      <c r="CE109" s="744"/>
      <c r="CF109" s="744"/>
      <c r="CG109" s="744"/>
      <c r="CH109" s="744"/>
      <c r="CI109" s="744"/>
      <c r="CJ109" s="744"/>
      <c r="CK109" s="744"/>
      <c r="CL109" s="744"/>
      <c r="CM109" s="744"/>
      <c r="CN109" s="744"/>
      <c r="CO109" s="744"/>
      <c r="CP109" s="744"/>
      <c r="CQ109" s="744"/>
      <c r="CR109" s="744"/>
      <c r="CS109" s="744"/>
      <c r="CT109" s="744"/>
      <c r="CU109" s="744"/>
      <c r="CV109" s="744"/>
      <c r="CW109" s="744"/>
      <c r="CX109" s="744"/>
      <c r="CY109" s="744"/>
      <c r="CZ109" s="744"/>
      <c r="DA109" s="744"/>
      <c r="DB109" s="744"/>
      <c r="DC109" s="744"/>
      <c r="DD109" s="744"/>
      <c r="DE109" s="744"/>
      <c r="DF109" s="744"/>
      <c r="DG109" s="744"/>
      <c r="DH109" s="744"/>
      <c r="DI109" s="744"/>
      <c r="DJ109" s="744"/>
      <c r="DK109" s="744"/>
      <c r="DL109" s="744"/>
      <c r="DM109" s="744"/>
      <c r="DN109" s="744"/>
      <c r="DO109" s="744"/>
      <c r="DP109" s="744"/>
      <c r="DQ109" s="744"/>
      <c r="DR109" s="744"/>
      <c r="DS109" s="744"/>
      <c r="DT109" s="744"/>
      <c r="DU109" s="744"/>
      <c r="DV109" s="744"/>
      <c r="DW109" s="744"/>
      <c r="DX109" s="744"/>
      <c r="DY109" s="744"/>
      <c r="DZ109" s="744"/>
      <c r="EA109" s="744"/>
      <c r="EB109" s="744"/>
      <c r="EC109" s="744"/>
      <c r="ED109" s="744"/>
      <c r="EE109" s="744"/>
      <c r="EF109" s="744"/>
      <c r="EG109" s="744"/>
      <c r="EH109" s="744"/>
      <c r="EI109" s="744"/>
      <c r="EJ109" s="744"/>
      <c r="EK109" s="744"/>
      <c r="EL109" s="744"/>
      <c r="EM109" s="744"/>
      <c r="EN109" s="744"/>
      <c r="EO109" s="744"/>
      <c r="EP109" s="744"/>
      <c r="EQ109" s="744"/>
      <c r="ER109" s="744"/>
      <c r="ES109" s="744"/>
      <c r="ET109" s="744"/>
      <c r="EU109" s="744"/>
      <c r="EV109" s="744"/>
      <c r="EW109" s="744"/>
      <c r="EX109" s="744"/>
      <c r="EY109" s="744"/>
      <c r="EZ109" s="744"/>
      <c r="FA109" s="744"/>
      <c r="FB109" s="744"/>
      <c r="FC109" s="744"/>
      <c r="FD109" s="744"/>
      <c r="FE109" s="744"/>
      <c r="FF109" s="744"/>
      <c r="FG109" s="744"/>
      <c r="FH109" s="744"/>
      <c r="FI109" s="744"/>
      <c r="FJ109" s="744"/>
      <c r="FK109" s="744"/>
      <c r="FL109" s="744"/>
      <c r="FM109" s="744"/>
      <c r="FN109" s="744"/>
      <c r="FO109" s="744"/>
      <c r="FP109" s="744"/>
      <c r="FQ109" s="744"/>
      <c r="FR109" s="744"/>
      <c r="FS109" s="744"/>
      <c r="FT109" s="744"/>
      <c r="FU109" s="744"/>
      <c r="FV109" s="744"/>
      <c r="FW109" s="744"/>
      <c r="FX109" s="744"/>
      <c r="FY109" s="744"/>
      <c r="FZ109" s="744"/>
      <c r="GA109" s="744"/>
      <c r="GB109" s="744"/>
      <c r="GC109" s="744"/>
      <c r="GD109" s="744"/>
      <c r="GE109" s="744"/>
      <c r="GF109" s="744"/>
      <c r="GG109" s="744"/>
      <c r="GH109" s="744"/>
      <c r="GI109" s="744"/>
      <c r="GJ109" s="744"/>
      <c r="GK109" s="744"/>
      <c r="GL109" s="744"/>
      <c r="GM109" s="744"/>
      <c r="GN109" s="744"/>
      <c r="GO109" s="744"/>
      <c r="GP109" s="744"/>
      <c r="GQ109" s="744"/>
      <c r="GR109" s="744"/>
      <c r="GS109" s="744"/>
      <c r="GT109" s="744"/>
      <c r="GU109" s="744"/>
      <c r="GV109" s="744"/>
      <c r="GW109" s="744"/>
      <c r="GX109" s="744"/>
      <c r="GY109" s="744"/>
      <c r="GZ109" s="744"/>
      <c r="HA109" s="744"/>
      <c r="HB109" s="744"/>
      <c r="HC109" s="744"/>
      <c r="HD109" s="744"/>
      <c r="HE109" s="744"/>
      <c r="HF109" s="744"/>
      <c r="HG109" s="744"/>
      <c r="HH109" s="744"/>
      <c r="HI109" s="744"/>
      <c r="HJ109" s="744"/>
      <c r="HK109" s="744"/>
      <c r="HL109" s="744"/>
      <c r="HM109" s="744"/>
      <c r="HN109" s="744"/>
      <c r="HO109" s="744"/>
      <c r="HP109" s="744"/>
      <c r="HQ109" s="744"/>
      <c r="HR109" s="744"/>
      <c r="HS109" s="744"/>
      <c r="HT109" s="744"/>
      <c r="HU109" s="744"/>
      <c r="HV109" s="744"/>
      <c r="HW109" s="744"/>
      <c r="HX109" s="744"/>
      <c r="HY109" s="744"/>
      <c r="HZ109" s="744"/>
      <c r="IA109" s="744"/>
      <c r="IB109" s="744"/>
      <c r="IC109" s="744"/>
      <c r="ID109" s="744"/>
      <c r="IE109" s="744"/>
      <c r="IF109" s="744"/>
      <c r="IG109" s="744"/>
      <c r="IH109" s="744"/>
      <c r="II109" s="744"/>
      <c r="IJ109" s="744"/>
      <c r="IK109" s="744"/>
      <c r="IL109" s="744"/>
      <c r="IM109" s="744"/>
      <c r="IN109" s="744"/>
      <c r="IO109" s="744"/>
      <c r="IP109" s="744"/>
      <c r="IQ109" s="744"/>
      <c r="IR109" s="744"/>
      <c r="IS109" s="744"/>
    </row>
    <row r="110" s="73" customFormat="1" ht="15" spans="1:253">
      <c r="A110" s="709" t="s">
        <v>139</v>
      </c>
      <c r="B110" s="682" t="s">
        <v>211</v>
      </c>
      <c r="C110" s="732" t="s">
        <v>167</v>
      </c>
      <c r="D110" s="729" t="s">
        <v>56</v>
      </c>
      <c r="E110" s="733">
        <f>'PB VI - Memorial'!B154</f>
        <v>31.08</v>
      </c>
      <c r="F110" s="711">
        <v>393.85</v>
      </c>
      <c r="G110" s="711">
        <f t="shared" ref="G110:G113" si="9">ROUND(E110*F110,2)</f>
        <v>12240.86</v>
      </c>
      <c r="H110" s="724"/>
      <c r="I110" s="724"/>
      <c r="J110" s="724"/>
      <c r="K110" s="724"/>
      <c r="L110" s="724"/>
      <c r="M110" s="724"/>
      <c r="N110" s="741"/>
      <c r="O110" s="741"/>
      <c r="P110" s="741"/>
      <c r="Q110" s="741"/>
      <c r="R110" s="741"/>
      <c r="S110" s="741"/>
      <c r="T110" s="741"/>
      <c r="U110" s="741"/>
      <c r="V110" s="741"/>
      <c r="W110" s="741"/>
      <c r="X110" s="741"/>
      <c r="Y110" s="741"/>
      <c r="Z110" s="741"/>
      <c r="AA110" s="741"/>
      <c r="AB110" s="741"/>
      <c r="AC110" s="741"/>
      <c r="AD110" s="741"/>
      <c r="AE110" s="741"/>
      <c r="AF110" s="741"/>
      <c r="AG110" s="741"/>
      <c r="AH110" s="741"/>
      <c r="AI110" s="741"/>
      <c r="AJ110" s="741"/>
      <c r="AK110" s="741"/>
      <c r="AL110" s="741"/>
      <c r="AM110" s="741"/>
      <c r="AN110" s="741"/>
      <c r="AO110" s="741"/>
      <c r="AP110" s="741"/>
      <c r="AQ110" s="741"/>
      <c r="AR110" s="741"/>
      <c r="AS110" s="741"/>
      <c r="AT110" s="741"/>
      <c r="AU110" s="741"/>
      <c r="AV110" s="741"/>
      <c r="AW110" s="741"/>
      <c r="AX110" s="741"/>
      <c r="AY110" s="741"/>
      <c r="AZ110" s="741"/>
      <c r="BA110" s="741"/>
      <c r="BB110" s="741"/>
      <c r="BC110" s="741"/>
      <c r="BD110" s="741"/>
      <c r="BE110" s="741"/>
      <c r="BF110" s="741"/>
      <c r="BG110" s="741"/>
      <c r="BH110" s="741"/>
      <c r="BI110" s="741"/>
      <c r="BJ110" s="741"/>
      <c r="BK110" s="741"/>
      <c r="BL110" s="741"/>
      <c r="BM110" s="741"/>
      <c r="BN110" s="741"/>
      <c r="BO110" s="741"/>
      <c r="BP110" s="741"/>
      <c r="BQ110" s="741"/>
      <c r="BR110" s="741"/>
      <c r="BS110" s="741"/>
      <c r="BT110" s="741"/>
      <c r="BU110" s="741"/>
      <c r="BV110" s="741"/>
      <c r="BW110" s="744"/>
      <c r="BX110" s="744"/>
      <c r="BY110" s="744"/>
      <c r="BZ110" s="744"/>
      <c r="CA110" s="744"/>
      <c r="CB110" s="744"/>
      <c r="CC110" s="744"/>
      <c r="CD110" s="744"/>
      <c r="CE110" s="744"/>
      <c r="CF110" s="744"/>
      <c r="CG110" s="744"/>
      <c r="CH110" s="744"/>
      <c r="CI110" s="744"/>
      <c r="CJ110" s="744"/>
      <c r="CK110" s="744"/>
      <c r="CL110" s="744"/>
      <c r="CM110" s="744"/>
      <c r="CN110" s="744"/>
      <c r="CO110" s="744"/>
      <c r="CP110" s="744"/>
      <c r="CQ110" s="744"/>
      <c r="CR110" s="744"/>
      <c r="CS110" s="744"/>
      <c r="CT110" s="744"/>
      <c r="CU110" s="744"/>
      <c r="CV110" s="744"/>
      <c r="CW110" s="744"/>
      <c r="CX110" s="744"/>
      <c r="CY110" s="744"/>
      <c r="CZ110" s="744"/>
      <c r="DA110" s="744"/>
      <c r="DB110" s="744"/>
      <c r="DC110" s="744"/>
      <c r="DD110" s="744"/>
      <c r="DE110" s="744"/>
      <c r="DF110" s="744"/>
      <c r="DG110" s="744"/>
      <c r="DH110" s="744"/>
      <c r="DI110" s="744"/>
      <c r="DJ110" s="744"/>
      <c r="DK110" s="744"/>
      <c r="DL110" s="744"/>
      <c r="DM110" s="744"/>
      <c r="DN110" s="744"/>
      <c r="DO110" s="744"/>
      <c r="DP110" s="744"/>
      <c r="DQ110" s="744"/>
      <c r="DR110" s="744"/>
      <c r="DS110" s="744"/>
      <c r="DT110" s="744"/>
      <c r="DU110" s="744"/>
      <c r="DV110" s="744"/>
      <c r="DW110" s="744"/>
      <c r="DX110" s="744"/>
      <c r="DY110" s="744"/>
      <c r="DZ110" s="744"/>
      <c r="EA110" s="744"/>
      <c r="EB110" s="744"/>
      <c r="EC110" s="744"/>
      <c r="ED110" s="744"/>
      <c r="EE110" s="744"/>
      <c r="EF110" s="744"/>
      <c r="EG110" s="744"/>
      <c r="EH110" s="744"/>
      <c r="EI110" s="744"/>
      <c r="EJ110" s="744"/>
      <c r="EK110" s="744"/>
      <c r="EL110" s="744"/>
      <c r="EM110" s="744"/>
      <c r="EN110" s="744"/>
      <c r="EO110" s="744"/>
      <c r="EP110" s="744"/>
      <c r="EQ110" s="744"/>
      <c r="ER110" s="744"/>
      <c r="ES110" s="744"/>
      <c r="ET110" s="744"/>
      <c r="EU110" s="744"/>
      <c r="EV110" s="744"/>
      <c r="EW110" s="744"/>
      <c r="EX110" s="744"/>
      <c r="EY110" s="744"/>
      <c r="EZ110" s="744"/>
      <c r="FA110" s="744"/>
      <c r="FB110" s="744"/>
      <c r="FC110" s="744"/>
      <c r="FD110" s="744"/>
      <c r="FE110" s="744"/>
      <c r="FF110" s="744"/>
      <c r="FG110" s="744"/>
      <c r="FH110" s="744"/>
      <c r="FI110" s="744"/>
      <c r="FJ110" s="744"/>
      <c r="FK110" s="744"/>
      <c r="FL110" s="744"/>
      <c r="FM110" s="744"/>
      <c r="FN110" s="744"/>
      <c r="FO110" s="744"/>
      <c r="FP110" s="744"/>
      <c r="FQ110" s="744"/>
      <c r="FR110" s="744"/>
      <c r="FS110" s="744"/>
      <c r="FT110" s="744"/>
      <c r="FU110" s="744"/>
      <c r="FV110" s="744"/>
      <c r="FW110" s="744"/>
      <c r="FX110" s="744"/>
      <c r="FY110" s="744"/>
      <c r="FZ110" s="744"/>
      <c r="GA110" s="744"/>
      <c r="GB110" s="744"/>
      <c r="GC110" s="744"/>
      <c r="GD110" s="744"/>
      <c r="GE110" s="744"/>
      <c r="GF110" s="744"/>
      <c r="GG110" s="744"/>
      <c r="GH110" s="744"/>
      <c r="GI110" s="744"/>
      <c r="GJ110" s="744"/>
      <c r="GK110" s="744"/>
      <c r="GL110" s="744"/>
      <c r="GM110" s="744"/>
      <c r="GN110" s="744"/>
      <c r="GO110" s="744"/>
      <c r="GP110" s="744"/>
      <c r="GQ110" s="744"/>
      <c r="GR110" s="744"/>
      <c r="GS110" s="744"/>
      <c r="GT110" s="744"/>
      <c r="GU110" s="744"/>
      <c r="GV110" s="744"/>
      <c r="GW110" s="744"/>
      <c r="GX110" s="744"/>
      <c r="GY110" s="744"/>
      <c r="GZ110" s="744"/>
      <c r="HA110" s="744"/>
      <c r="HB110" s="744"/>
      <c r="HC110" s="744"/>
      <c r="HD110" s="744"/>
      <c r="HE110" s="744"/>
      <c r="HF110" s="744"/>
      <c r="HG110" s="744"/>
      <c r="HH110" s="744"/>
      <c r="HI110" s="744"/>
      <c r="HJ110" s="744"/>
      <c r="HK110" s="744"/>
      <c r="HL110" s="744"/>
      <c r="HM110" s="744"/>
      <c r="HN110" s="744"/>
      <c r="HO110" s="744"/>
      <c r="HP110" s="744"/>
      <c r="HQ110" s="744"/>
      <c r="HR110" s="744"/>
      <c r="HS110" s="744"/>
      <c r="HT110" s="744"/>
      <c r="HU110" s="744"/>
      <c r="HV110" s="744"/>
      <c r="HW110" s="744"/>
      <c r="HX110" s="744"/>
      <c r="HY110" s="744"/>
      <c r="HZ110" s="744"/>
      <c r="IA110" s="744"/>
      <c r="IB110" s="744"/>
      <c r="IC110" s="744"/>
      <c r="ID110" s="744"/>
      <c r="IE110" s="744"/>
      <c r="IF110" s="744"/>
      <c r="IG110" s="744"/>
      <c r="IH110" s="744"/>
      <c r="II110" s="744"/>
      <c r="IJ110" s="744"/>
      <c r="IK110" s="744"/>
      <c r="IL110" s="744"/>
      <c r="IM110" s="744"/>
      <c r="IN110" s="744"/>
      <c r="IO110" s="744"/>
      <c r="IP110" s="744"/>
      <c r="IQ110" s="744"/>
      <c r="IR110" s="744"/>
      <c r="IS110" s="744"/>
    </row>
    <row r="111" s="73" customFormat="1" ht="15" spans="1:253">
      <c r="A111" s="709" t="s">
        <v>90</v>
      </c>
      <c r="B111" s="682" t="s">
        <v>212</v>
      </c>
      <c r="C111" s="732" t="s">
        <v>143</v>
      </c>
      <c r="D111" s="729" t="s">
        <v>56</v>
      </c>
      <c r="E111" s="733">
        <f>E110</f>
        <v>31.08</v>
      </c>
      <c r="F111" s="711">
        <v>143.94</v>
      </c>
      <c r="G111" s="711">
        <f t="shared" si="9"/>
        <v>4473.66</v>
      </c>
      <c r="H111" s="724"/>
      <c r="I111" s="724"/>
      <c r="J111" s="724"/>
      <c r="K111" s="724"/>
      <c r="L111" s="724"/>
      <c r="M111" s="724"/>
      <c r="N111" s="741"/>
      <c r="O111" s="741"/>
      <c r="P111" s="741"/>
      <c r="Q111" s="741"/>
      <c r="R111" s="741"/>
      <c r="S111" s="741"/>
      <c r="T111" s="741"/>
      <c r="U111" s="741"/>
      <c r="V111" s="741"/>
      <c r="W111" s="741"/>
      <c r="X111" s="741"/>
      <c r="Y111" s="741"/>
      <c r="Z111" s="741"/>
      <c r="AA111" s="741"/>
      <c r="AB111" s="741"/>
      <c r="AC111" s="741"/>
      <c r="AD111" s="741"/>
      <c r="AE111" s="741"/>
      <c r="AF111" s="741"/>
      <c r="AG111" s="741"/>
      <c r="AH111" s="741"/>
      <c r="AI111" s="741"/>
      <c r="AJ111" s="741"/>
      <c r="AK111" s="741"/>
      <c r="AL111" s="741"/>
      <c r="AM111" s="741"/>
      <c r="AN111" s="741"/>
      <c r="AO111" s="741"/>
      <c r="AP111" s="741"/>
      <c r="AQ111" s="741"/>
      <c r="AR111" s="741"/>
      <c r="AS111" s="741"/>
      <c r="AT111" s="741"/>
      <c r="AU111" s="741"/>
      <c r="AV111" s="741"/>
      <c r="AW111" s="741"/>
      <c r="AX111" s="741"/>
      <c r="AY111" s="741"/>
      <c r="AZ111" s="741"/>
      <c r="BA111" s="741"/>
      <c r="BB111" s="741"/>
      <c r="BC111" s="741"/>
      <c r="BD111" s="741"/>
      <c r="BE111" s="741"/>
      <c r="BF111" s="741"/>
      <c r="BG111" s="741"/>
      <c r="BH111" s="741"/>
      <c r="BI111" s="741"/>
      <c r="BJ111" s="741"/>
      <c r="BK111" s="741"/>
      <c r="BL111" s="741"/>
      <c r="BM111" s="741"/>
      <c r="BN111" s="741"/>
      <c r="BO111" s="741"/>
      <c r="BP111" s="741"/>
      <c r="BQ111" s="741"/>
      <c r="BR111" s="741"/>
      <c r="BS111" s="741"/>
      <c r="BT111" s="741"/>
      <c r="BU111" s="741"/>
      <c r="BV111" s="741"/>
      <c r="BW111" s="744"/>
      <c r="BX111" s="744"/>
      <c r="BY111" s="744"/>
      <c r="BZ111" s="744"/>
      <c r="CA111" s="744"/>
      <c r="CB111" s="744"/>
      <c r="CC111" s="744"/>
      <c r="CD111" s="744"/>
      <c r="CE111" s="744"/>
      <c r="CF111" s="744"/>
      <c r="CG111" s="744"/>
      <c r="CH111" s="744"/>
      <c r="CI111" s="744"/>
      <c r="CJ111" s="744"/>
      <c r="CK111" s="744"/>
      <c r="CL111" s="744"/>
      <c r="CM111" s="744"/>
      <c r="CN111" s="744"/>
      <c r="CO111" s="744"/>
      <c r="CP111" s="744"/>
      <c r="CQ111" s="744"/>
      <c r="CR111" s="744"/>
      <c r="CS111" s="744"/>
      <c r="CT111" s="744"/>
      <c r="CU111" s="744"/>
      <c r="CV111" s="744"/>
      <c r="CW111" s="744"/>
      <c r="CX111" s="744"/>
      <c r="CY111" s="744"/>
      <c r="CZ111" s="744"/>
      <c r="DA111" s="744"/>
      <c r="DB111" s="744"/>
      <c r="DC111" s="744"/>
      <c r="DD111" s="744"/>
      <c r="DE111" s="744"/>
      <c r="DF111" s="744"/>
      <c r="DG111" s="744"/>
      <c r="DH111" s="744"/>
      <c r="DI111" s="744"/>
      <c r="DJ111" s="744"/>
      <c r="DK111" s="744"/>
      <c r="DL111" s="744"/>
      <c r="DM111" s="744"/>
      <c r="DN111" s="744"/>
      <c r="DO111" s="744"/>
      <c r="DP111" s="744"/>
      <c r="DQ111" s="744"/>
      <c r="DR111" s="744"/>
      <c r="DS111" s="744"/>
      <c r="DT111" s="744"/>
      <c r="DU111" s="744"/>
      <c r="DV111" s="744"/>
      <c r="DW111" s="744"/>
      <c r="DX111" s="744"/>
      <c r="DY111" s="744"/>
      <c r="DZ111" s="744"/>
      <c r="EA111" s="744"/>
      <c r="EB111" s="744"/>
      <c r="EC111" s="744"/>
      <c r="ED111" s="744"/>
      <c r="EE111" s="744"/>
      <c r="EF111" s="744"/>
      <c r="EG111" s="744"/>
      <c r="EH111" s="744"/>
      <c r="EI111" s="744"/>
      <c r="EJ111" s="744"/>
      <c r="EK111" s="744"/>
      <c r="EL111" s="744"/>
      <c r="EM111" s="744"/>
      <c r="EN111" s="744"/>
      <c r="EO111" s="744"/>
      <c r="EP111" s="744"/>
      <c r="EQ111" s="744"/>
      <c r="ER111" s="744"/>
      <c r="ES111" s="744"/>
      <c r="ET111" s="744"/>
      <c r="EU111" s="744"/>
      <c r="EV111" s="744"/>
      <c r="EW111" s="744"/>
      <c r="EX111" s="744"/>
      <c r="EY111" s="744"/>
      <c r="EZ111" s="744"/>
      <c r="FA111" s="744"/>
      <c r="FB111" s="744"/>
      <c r="FC111" s="744"/>
      <c r="FD111" s="744"/>
      <c r="FE111" s="744"/>
      <c r="FF111" s="744"/>
      <c r="FG111" s="744"/>
      <c r="FH111" s="744"/>
      <c r="FI111" s="744"/>
      <c r="FJ111" s="744"/>
      <c r="FK111" s="744"/>
      <c r="FL111" s="744"/>
      <c r="FM111" s="744"/>
      <c r="FN111" s="744"/>
      <c r="FO111" s="744"/>
      <c r="FP111" s="744"/>
      <c r="FQ111" s="744"/>
      <c r="FR111" s="744"/>
      <c r="FS111" s="744"/>
      <c r="FT111" s="744"/>
      <c r="FU111" s="744"/>
      <c r="FV111" s="744"/>
      <c r="FW111" s="744"/>
      <c r="FX111" s="744"/>
      <c r="FY111" s="744"/>
      <c r="FZ111" s="744"/>
      <c r="GA111" s="744"/>
      <c r="GB111" s="744"/>
      <c r="GC111" s="744"/>
      <c r="GD111" s="744"/>
      <c r="GE111" s="744"/>
      <c r="GF111" s="744"/>
      <c r="GG111" s="744"/>
      <c r="GH111" s="744"/>
      <c r="GI111" s="744"/>
      <c r="GJ111" s="744"/>
      <c r="GK111" s="744"/>
      <c r="GL111" s="744"/>
      <c r="GM111" s="744"/>
      <c r="GN111" s="744"/>
      <c r="GO111" s="744"/>
      <c r="GP111" s="744"/>
      <c r="GQ111" s="744"/>
      <c r="GR111" s="744"/>
      <c r="GS111" s="744"/>
      <c r="GT111" s="744"/>
      <c r="GU111" s="744"/>
      <c r="GV111" s="744"/>
      <c r="GW111" s="744"/>
      <c r="GX111" s="744"/>
      <c r="GY111" s="744"/>
      <c r="GZ111" s="744"/>
      <c r="HA111" s="744"/>
      <c r="HB111" s="744"/>
      <c r="HC111" s="744"/>
      <c r="HD111" s="744"/>
      <c r="HE111" s="744"/>
      <c r="HF111" s="744"/>
      <c r="HG111" s="744"/>
      <c r="HH111" s="744"/>
      <c r="HI111" s="744"/>
      <c r="HJ111" s="744"/>
      <c r="HK111" s="744"/>
      <c r="HL111" s="744"/>
      <c r="HM111" s="744"/>
      <c r="HN111" s="744"/>
      <c r="HO111" s="744"/>
      <c r="HP111" s="744"/>
      <c r="HQ111" s="744"/>
      <c r="HR111" s="744"/>
      <c r="HS111" s="744"/>
      <c r="HT111" s="744"/>
      <c r="HU111" s="744"/>
      <c r="HV111" s="744"/>
      <c r="HW111" s="744"/>
      <c r="HX111" s="744"/>
      <c r="HY111" s="744"/>
      <c r="HZ111" s="744"/>
      <c r="IA111" s="744"/>
      <c r="IB111" s="744"/>
      <c r="IC111" s="744"/>
      <c r="ID111" s="744"/>
      <c r="IE111" s="744"/>
      <c r="IF111" s="744"/>
      <c r="IG111" s="744"/>
      <c r="IH111" s="744"/>
      <c r="II111" s="744"/>
      <c r="IJ111" s="744"/>
      <c r="IK111" s="744"/>
      <c r="IL111" s="744"/>
      <c r="IM111" s="744"/>
      <c r="IN111" s="744"/>
      <c r="IO111" s="744"/>
      <c r="IP111" s="744"/>
      <c r="IQ111" s="744"/>
      <c r="IR111" s="744"/>
      <c r="IS111" s="744"/>
    </row>
    <row r="112" s="73" customFormat="1" ht="15" spans="1:253">
      <c r="A112" s="709" t="s">
        <v>213</v>
      </c>
      <c r="B112" s="682" t="s">
        <v>214</v>
      </c>
      <c r="C112" s="740" t="s">
        <v>193</v>
      </c>
      <c r="D112" s="729" t="s">
        <v>17</v>
      </c>
      <c r="E112" s="733">
        <f>'PB VI - Memorial'!C154</f>
        <v>265.86</v>
      </c>
      <c r="F112" s="711">
        <v>31.58</v>
      </c>
      <c r="G112" s="711">
        <f t="shared" si="9"/>
        <v>8395.86</v>
      </c>
      <c r="H112" s="724"/>
      <c r="I112" s="724"/>
      <c r="J112" s="724"/>
      <c r="K112" s="724"/>
      <c r="L112" s="724"/>
      <c r="M112" s="724"/>
      <c r="N112" s="741"/>
      <c r="O112" s="741"/>
      <c r="P112" s="741"/>
      <c r="Q112" s="741"/>
      <c r="R112" s="741"/>
      <c r="S112" s="741"/>
      <c r="T112" s="741"/>
      <c r="U112" s="741"/>
      <c r="V112" s="741"/>
      <c r="W112" s="741"/>
      <c r="X112" s="741"/>
      <c r="Y112" s="741"/>
      <c r="Z112" s="741"/>
      <c r="AA112" s="741"/>
      <c r="AB112" s="741"/>
      <c r="AC112" s="741"/>
      <c r="AD112" s="741"/>
      <c r="AE112" s="741"/>
      <c r="AF112" s="741"/>
      <c r="AG112" s="741"/>
      <c r="AH112" s="741"/>
      <c r="AI112" s="741"/>
      <c r="AJ112" s="741"/>
      <c r="AK112" s="741"/>
      <c r="AL112" s="741"/>
      <c r="AM112" s="741"/>
      <c r="AN112" s="741"/>
      <c r="AO112" s="741"/>
      <c r="AP112" s="741"/>
      <c r="AQ112" s="741"/>
      <c r="AR112" s="741"/>
      <c r="AS112" s="741"/>
      <c r="AT112" s="741"/>
      <c r="AU112" s="741"/>
      <c r="AV112" s="741"/>
      <c r="AW112" s="741"/>
      <c r="AX112" s="741"/>
      <c r="AY112" s="741"/>
      <c r="AZ112" s="741"/>
      <c r="BA112" s="741"/>
      <c r="BB112" s="741"/>
      <c r="BC112" s="741"/>
      <c r="BD112" s="741"/>
      <c r="BE112" s="741"/>
      <c r="BF112" s="741"/>
      <c r="BG112" s="741"/>
      <c r="BH112" s="741"/>
      <c r="BI112" s="741"/>
      <c r="BJ112" s="741"/>
      <c r="BK112" s="741"/>
      <c r="BL112" s="741"/>
      <c r="BM112" s="741"/>
      <c r="BN112" s="741"/>
      <c r="BO112" s="741"/>
      <c r="BP112" s="741"/>
      <c r="BQ112" s="741"/>
      <c r="BR112" s="741"/>
      <c r="BS112" s="741"/>
      <c r="BT112" s="741"/>
      <c r="BU112" s="741"/>
      <c r="BV112" s="741"/>
      <c r="BW112" s="744"/>
      <c r="BX112" s="744"/>
      <c r="BY112" s="744"/>
      <c r="BZ112" s="744"/>
      <c r="CA112" s="744"/>
      <c r="CB112" s="744"/>
      <c r="CC112" s="744"/>
      <c r="CD112" s="744"/>
      <c r="CE112" s="744"/>
      <c r="CF112" s="744"/>
      <c r="CG112" s="744"/>
      <c r="CH112" s="744"/>
      <c r="CI112" s="744"/>
      <c r="CJ112" s="744"/>
      <c r="CK112" s="744"/>
      <c r="CL112" s="744"/>
      <c r="CM112" s="744"/>
      <c r="CN112" s="744"/>
      <c r="CO112" s="744"/>
      <c r="CP112" s="744"/>
      <c r="CQ112" s="744"/>
      <c r="CR112" s="744"/>
      <c r="CS112" s="744"/>
      <c r="CT112" s="744"/>
      <c r="CU112" s="744"/>
      <c r="CV112" s="744"/>
      <c r="CW112" s="744"/>
      <c r="CX112" s="744"/>
      <c r="CY112" s="744"/>
      <c r="CZ112" s="744"/>
      <c r="DA112" s="744"/>
      <c r="DB112" s="744"/>
      <c r="DC112" s="744"/>
      <c r="DD112" s="744"/>
      <c r="DE112" s="744"/>
      <c r="DF112" s="744"/>
      <c r="DG112" s="744"/>
      <c r="DH112" s="744"/>
      <c r="DI112" s="744"/>
      <c r="DJ112" s="744"/>
      <c r="DK112" s="744"/>
      <c r="DL112" s="744"/>
      <c r="DM112" s="744"/>
      <c r="DN112" s="744"/>
      <c r="DO112" s="744"/>
      <c r="DP112" s="744"/>
      <c r="DQ112" s="744"/>
      <c r="DR112" s="744"/>
      <c r="DS112" s="744"/>
      <c r="DT112" s="744"/>
      <c r="DU112" s="744"/>
      <c r="DV112" s="744"/>
      <c r="DW112" s="744"/>
      <c r="DX112" s="744"/>
      <c r="DY112" s="744"/>
      <c r="DZ112" s="744"/>
      <c r="EA112" s="744"/>
      <c r="EB112" s="744"/>
      <c r="EC112" s="744"/>
      <c r="ED112" s="744"/>
      <c r="EE112" s="744"/>
      <c r="EF112" s="744"/>
      <c r="EG112" s="744"/>
      <c r="EH112" s="744"/>
      <c r="EI112" s="744"/>
      <c r="EJ112" s="744"/>
      <c r="EK112" s="744"/>
      <c r="EL112" s="744"/>
      <c r="EM112" s="744"/>
      <c r="EN112" s="744"/>
      <c r="EO112" s="744"/>
      <c r="EP112" s="744"/>
      <c r="EQ112" s="744"/>
      <c r="ER112" s="744"/>
      <c r="ES112" s="744"/>
      <c r="ET112" s="744"/>
      <c r="EU112" s="744"/>
      <c r="EV112" s="744"/>
      <c r="EW112" s="744"/>
      <c r="EX112" s="744"/>
      <c r="EY112" s="744"/>
      <c r="EZ112" s="744"/>
      <c r="FA112" s="744"/>
      <c r="FB112" s="744"/>
      <c r="FC112" s="744"/>
      <c r="FD112" s="744"/>
      <c r="FE112" s="744"/>
      <c r="FF112" s="744"/>
      <c r="FG112" s="744"/>
      <c r="FH112" s="744"/>
      <c r="FI112" s="744"/>
      <c r="FJ112" s="744"/>
      <c r="FK112" s="744"/>
      <c r="FL112" s="744"/>
      <c r="FM112" s="744"/>
      <c r="FN112" s="744"/>
      <c r="FO112" s="744"/>
      <c r="FP112" s="744"/>
      <c r="FQ112" s="744"/>
      <c r="FR112" s="744"/>
      <c r="FS112" s="744"/>
      <c r="FT112" s="744"/>
      <c r="FU112" s="744"/>
      <c r="FV112" s="744"/>
      <c r="FW112" s="744"/>
      <c r="FX112" s="744"/>
      <c r="FY112" s="744"/>
      <c r="FZ112" s="744"/>
      <c r="GA112" s="744"/>
      <c r="GB112" s="744"/>
      <c r="GC112" s="744"/>
      <c r="GD112" s="744"/>
      <c r="GE112" s="744"/>
      <c r="GF112" s="744"/>
      <c r="GG112" s="744"/>
      <c r="GH112" s="744"/>
      <c r="GI112" s="744"/>
      <c r="GJ112" s="744"/>
      <c r="GK112" s="744"/>
      <c r="GL112" s="744"/>
      <c r="GM112" s="744"/>
      <c r="GN112" s="744"/>
      <c r="GO112" s="744"/>
      <c r="GP112" s="744"/>
      <c r="GQ112" s="744"/>
      <c r="GR112" s="744"/>
      <c r="GS112" s="744"/>
      <c r="GT112" s="744"/>
      <c r="GU112" s="744"/>
      <c r="GV112" s="744"/>
      <c r="GW112" s="744"/>
      <c r="GX112" s="744"/>
      <c r="GY112" s="744"/>
      <c r="GZ112" s="744"/>
      <c r="HA112" s="744"/>
      <c r="HB112" s="744"/>
      <c r="HC112" s="744"/>
      <c r="HD112" s="744"/>
      <c r="HE112" s="744"/>
      <c r="HF112" s="744"/>
      <c r="HG112" s="744"/>
      <c r="HH112" s="744"/>
      <c r="HI112" s="744"/>
      <c r="HJ112" s="744"/>
      <c r="HK112" s="744"/>
      <c r="HL112" s="744"/>
      <c r="HM112" s="744"/>
      <c r="HN112" s="744"/>
      <c r="HO112" s="744"/>
      <c r="HP112" s="744"/>
      <c r="HQ112" s="744"/>
      <c r="HR112" s="744"/>
      <c r="HS112" s="744"/>
      <c r="HT112" s="744"/>
      <c r="HU112" s="744"/>
      <c r="HV112" s="744"/>
      <c r="HW112" s="744"/>
      <c r="HX112" s="744"/>
      <c r="HY112" s="744"/>
      <c r="HZ112" s="744"/>
      <c r="IA112" s="744"/>
      <c r="IB112" s="744"/>
      <c r="IC112" s="744"/>
      <c r="ID112" s="744"/>
      <c r="IE112" s="744"/>
      <c r="IF112" s="744"/>
      <c r="IG112" s="744"/>
      <c r="IH112" s="744"/>
      <c r="II112" s="744"/>
      <c r="IJ112" s="744"/>
      <c r="IK112" s="744"/>
      <c r="IL112" s="744"/>
      <c r="IM112" s="744"/>
      <c r="IN112" s="744"/>
      <c r="IO112" s="744"/>
      <c r="IP112" s="744"/>
      <c r="IQ112" s="744"/>
      <c r="IR112" s="744"/>
      <c r="IS112" s="744"/>
    </row>
    <row r="113" s="73" customFormat="1" ht="15" spans="1:253">
      <c r="A113" s="709" t="s">
        <v>215</v>
      </c>
      <c r="B113" s="682" t="s">
        <v>216</v>
      </c>
      <c r="C113" s="732" t="s">
        <v>148</v>
      </c>
      <c r="D113" s="729" t="s">
        <v>95</v>
      </c>
      <c r="E113" s="733">
        <f>'PB VI - Memorial'!B156</f>
        <v>821.36</v>
      </c>
      <c r="F113" s="711">
        <v>8.53</v>
      </c>
      <c r="G113" s="711">
        <f t="shared" si="9"/>
        <v>7006.2</v>
      </c>
      <c r="H113" s="724"/>
      <c r="I113" s="724"/>
      <c r="J113" s="724"/>
      <c r="K113" s="724"/>
      <c r="L113" s="724"/>
      <c r="M113" s="724"/>
      <c r="N113" s="741"/>
      <c r="O113" s="741"/>
      <c r="P113" s="741"/>
      <c r="Q113" s="741"/>
      <c r="R113" s="741"/>
      <c r="S113" s="741"/>
      <c r="T113" s="741"/>
      <c r="U113" s="741"/>
      <c r="V113" s="741"/>
      <c r="W113" s="741"/>
      <c r="X113" s="741"/>
      <c r="Y113" s="741"/>
      <c r="Z113" s="741"/>
      <c r="AA113" s="741"/>
      <c r="AB113" s="741"/>
      <c r="AC113" s="741"/>
      <c r="AD113" s="741"/>
      <c r="AE113" s="741"/>
      <c r="AF113" s="741"/>
      <c r="AG113" s="741"/>
      <c r="AH113" s="741"/>
      <c r="AI113" s="741"/>
      <c r="AJ113" s="741"/>
      <c r="AK113" s="741"/>
      <c r="AL113" s="741"/>
      <c r="AM113" s="741"/>
      <c r="AN113" s="741"/>
      <c r="AO113" s="741"/>
      <c r="AP113" s="741"/>
      <c r="AQ113" s="741"/>
      <c r="AR113" s="741"/>
      <c r="AS113" s="741"/>
      <c r="AT113" s="741"/>
      <c r="AU113" s="741"/>
      <c r="AV113" s="741"/>
      <c r="AW113" s="741"/>
      <c r="AX113" s="741"/>
      <c r="AY113" s="741"/>
      <c r="AZ113" s="741"/>
      <c r="BA113" s="741"/>
      <c r="BB113" s="741"/>
      <c r="BC113" s="741"/>
      <c r="BD113" s="741"/>
      <c r="BE113" s="741"/>
      <c r="BF113" s="741"/>
      <c r="BG113" s="741"/>
      <c r="BH113" s="741"/>
      <c r="BI113" s="741"/>
      <c r="BJ113" s="741"/>
      <c r="BK113" s="741"/>
      <c r="BL113" s="741"/>
      <c r="BM113" s="741"/>
      <c r="BN113" s="741"/>
      <c r="BO113" s="741"/>
      <c r="BP113" s="741"/>
      <c r="BQ113" s="741"/>
      <c r="BR113" s="741"/>
      <c r="BS113" s="741"/>
      <c r="BT113" s="741"/>
      <c r="BU113" s="741"/>
      <c r="BV113" s="741"/>
      <c r="BW113" s="744"/>
      <c r="BX113" s="744"/>
      <c r="BY113" s="744"/>
      <c r="BZ113" s="744"/>
      <c r="CA113" s="744"/>
      <c r="CB113" s="744"/>
      <c r="CC113" s="744"/>
      <c r="CD113" s="744"/>
      <c r="CE113" s="744"/>
      <c r="CF113" s="744"/>
      <c r="CG113" s="744"/>
      <c r="CH113" s="744"/>
      <c r="CI113" s="744"/>
      <c r="CJ113" s="744"/>
      <c r="CK113" s="744"/>
      <c r="CL113" s="744"/>
      <c r="CM113" s="744"/>
      <c r="CN113" s="744"/>
      <c r="CO113" s="744"/>
      <c r="CP113" s="744"/>
      <c r="CQ113" s="744"/>
      <c r="CR113" s="744"/>
      <c r="CS113" s="744"/>
      <c r="CT113" s="744"/>
      <c r="CU113" s="744"/>
      <c r="CV113" s="744"/>
      <c r="CW113" s="744"/>
      <c r="CX113" s="744"/>
      <c r="CY113" s="744"/>
      <c r="CZ113" s="744"/>
      <c r="DA113" s="744"/>
      <c r="DB113" s="744"/>
      <c r="DC113" s="744"/>
      <c r="DD113" s="744"/>
      <c r="DE113" s="744"/>
      <c r="DF113" s="744"/>
      <c r="DG113" s="744"/>
      <c r="DH113" s="744"/>
      <c r="DI113" s="744"/>
      <c r="DJ113" s="744"/>
      <c r="DK113" s="744"/>
      <c r="DL113" s="744"/>
      <c r="DM113" s="744"/>
      <c r="DN113" s="744"/>
      <c r="DO113" s="744"/>
      <c r="DP113" s="744"/>
      <c r="DQ113" s="744"/>
      <c r="DR113" s="744"/>
      <c r="DS113" s="744"/>
      <c r="DT113" s="744"/>
      <c r="DU113" s="744"/>
      <c r="DV113" s="744"/>
      <c r="DW113" s="744"/>
      <c r="DX113" s="744"/>
      <c r="DY113" s="744"/>
      <c r="DZ113" s="744"/>
      <c r="EA113" s="744"/>
      <c r="EB113" s="744"/>
      <c r="EC113" s="744"/>
      <c r="ED113" s="744"/>
      <c r="EE113" s="744"/>
      <c r="EF113" s="744"/>
      <c r="EG113" s="744"/>
      <c r="EH113" s="744"/>
      <c r="EI113" s="744"/>
      <c r="EJ113" s="744"/>
      <c r="EK113" s="744"/>
      <c r="EL113" s="744"/>
      <c r="EM113" s="744"/>
      <c r="EN113" s="744"/>
      <c r="EO113" s="744"/>
      <c r="EP113" s="744"/>
      <c r="EQ113" s="744"/>
      <c r="ER113" s="744"/>
      <c r="ES113" s="744"/>
      <c r="ET113" s="744"/>
      <c r="EU113" s="744"/>
      <c r="EV113" s="744"/>
      <c r="EW113" s="744"/>
      <c r="EX113" s="744"/>
      <c r="EY113" s="744"/>
      <c r="EZ113" s="744"/>
      <c r="FA113" s="744"/>
      <c r="FB113" s="744"/>
      <c r="FC113" s="744"/>
      <c r="FD113" s="744"/>
      <c r="FE113" s="744"/>
      <c r="FF113" s="744"/>
      <c r="FG113" s="744"/>
      <c r="FH113" s="744"/>
      <c r="FI113" s="744"/>
      <c r="FJ113" s="744"/>
      <c r="FK113" s="744"/>
      <c r="FL113" s="744"/>
      <c r="FM113" s="744"/>
      <c r="FN113" s="744"/>
      <c r="FO113" s="744"/>
      <c r="FP113" s="744"/>
      <c r="FQ113" s="744"/>
      <c r="FR113" s="744"/>
      <c r="FS113" s="744"/>
      <c r="FT113" s="744"/>
      <c r="FU113" s="744"/>
      <c r="FV113" s="744"/>
      <c r="FW113" s="744"/>
      <c r="FX113" s="744"/>
      <c r="FY113" s="744"/>
      <c r="FZ113" s="744"/>
      <c r="GA113" s="744"/>
      <c r="GB113" s="744"/>
      <c r="GC113" s="744"/>
      <c r="GD113" s="744"/>
      <c r="GE113" s="744"/>
      <c r="GF113" s="744"/>
      <c r="GG113" s="744"/>
      <c r="GH113" s="744"/>
      <c r="GI113" s="744"/>
      <c r="GJ113" s="744"/>
      <c r="GK113" s="744"/>
      <c r="GL113" s="744"/>
      <c r="GM113" s="744"/>
      <c r="GN113" s="744"/>
      <c r="GO113" s="744"/>
      <c r="GP113" s="744"/>
      <c r="GQ113" s="744"/>
      <c r="GR113" s="744"/>
      <c r="GS113" s="744"/>
      <c r="GT113" s="744"/>
      <c r="GU113" s="744"/>
      <c r="GV113" s="744"/>
      <c r="GW113" s="744"/>
      <c r="GX113" s="744"/>
      <c r="GY113" s="744"/>
      <c r="GZ113" s="744"/>
      <c r="HA113" s="744"/>
      <c r="HB113" s="744"/>
      <c r="HC113" s="744"/>
      <c r="HD113" s="744"/>
      <c r="HE113" s="744"/>
      <c r="HF113" s="744"/>
      <c r="HG113" s="744"/>
      <c r="HH113" s="744"/>
      <c r="HI113" s="744"/>
      <c r="HJ113" s="744"/>
      <c r="HK113" s="744"/>
      <c r="HL113" s="744"/>
      <c r="HM113" s="744"/>
      <c r="HN113" s="744"/>
      <c r="HO113" s="744"/>
      <c r="HP113" s="744"/>
      <c r="HQ113" s="744"/>
      <c r="HR113" s="744"/>
      <c r="HS113" s="744"/>
      <c r="HT113" s="744"/>
      <c r="HU113" s="744"/>
      <c r="HV113" s="744"/>
      <c r="HW113" s="744"/>
      <c r="HX113" s="744"/>
      <c r="HY113" s="744"/>
      <c r="HZ113" s="744"/>
      <c r="IA113" s="744"/>
      <c r="IB113" s="744"/>
      <c r="IC113" s="744"/>
      <c r="ID113" s="744"/>
      <c r="IE113" s="744"/>
      <c r="IF113" s="744"/>
      <c r="IG113" s="744"/>
      <c r="IH113" s="744"/>
      <c r="II113" s="744"/>
      <c r="IJ113" s="744"/>
      <c r="IK113" s="744"/>
      <c r="IL113" s="744"/>
      <c r="IM113" s="744"/>
      <c r="IN113" s="744"/>
      <c r="IO113" s="744"/>
      <c r="IP113" s="744"/>
      <c r="IQ113" s="744"/>
      <c r="IR113" s="744"/>
      <c r="IS113" s="744"/>
    </row>
    <row r="114" s="73" customFormat="1" ht="15" spans="1:253">
      <c r="A114" s="709" t="s">
        <v>217</v>
      </c>
      <c r="B114" s="682" t="s">
        <v>218</v>
      </c>
      <c r="C114" s="732" t="s">
        <v>151</v>
      </c>
      <c r="D114" s="729" t="s">
        <v>95</v>
      </c>
      <c r="E114" s="733">
        <f>'PB VI - Memorial'!C156</f>
        <v>246.09</v>
      </c>
      <c r="F114" s="711">
        <v>8.1</v>
      </c>
      <c r="G114" s="711">
        <f t="shared" ref="G114:G115" si="10">ROUND(E114*F114,2)</f>
        <v>1993.33</v>
      </c>
      <c r="H114" s="724"/>
      <c r="I114" s="724"/>
      <c r="J114" s="724"/>
      <c r="K114" s="724"/>
      <c r="L114" s="724"/>
      <c r="M114" s="724"/>
      <c r="N114" s="741"/>
      <c r="O114" s="741"/>
      <c r="P114" s="741"/>
      <c r="Q114" s="741"/>
      <c r="R114" s="741"/>
      <c r="S114" s="741"/>
      <c r="T114" s="741"/>
      <c r="U114" s="741"/>
      <c r="V114" s="741"/>
      <c r="W114" s="741"/>
      <c r="X114" s="741"/>
      <c r="Y114" s="741"/>
      <c r="Z114" s="741"/>
      <c r="AA114" s="741"/>
      <c r="AB114" s="741"/>
      <c r="AC114" s="741"/>
      <c r="AD114" s="741"/>
      <c r="AE114" s="741"/>
      <c r="AF114" s="741"/>
      <c r="AG114" s="741"/>
      <c r="AH114" s="741"/>
      <c r="AI114" s="741"/>
      <c r="AJ114" s="741"/>
      <c r="AK114" s="741"/>
      <c r="AL114" s="741"/>
      <c r="AM114" s="741"/>
      <c r="AN114" s="741"/>
      <c r="AO114" s="741"/>
      <c r="AP114" s="741"/>
      <c r="AQ114" s="741"/>
      <c r="AR114" s="741"/>
      <c r="AS114" s="741"/>
      <c r="AT114" s="741"/>
      <c r="AU114" s="741"/>
      <c r="AV114" s="741"/>
      <c r="AW114" s="741"/>
      <c r="AX114" s="741"/>
      <c r="AY114" s="741"/>
      <c r="AZ114" s="741"/>
      <c r="BA114" s="741"/>
      <c r="BB114" s="741"/>
      <c r="BC114" s="741"/>
      <c r="BD114" s="741"/>
      <c r="BE114" s="741"/>
      <c r="BF114" s="741"/>
      <c r="BG114" s="741"/>
      <c r="BH114" s="741"/>
      <c r="BI114" s="741"/>
      <c r="BJ114" s="741"/>
      <c r="BK114" s="741"/>
      <c r="BL114" s="741"/>
      <c r="BM114" s="741"/>
      <c r="BN114" s="741"/>
      <c r="BO114" s="741"/>
      <c r="BP114" s="741"/>
      <c r="BQ114" s="741"/>
      <c r="BR114" s="741"/>
      <c r="BS114" s="741"/>
      <c r="BT114" s="741"/>
      <c r="BU114" s="741"/>
      <c r="BV114" s="741"/>
      <c r="BW114" s="744"/>
      <c r="BX114" s="744"/>
      <c r="BY114" s="744"/>
      <c r="BZ114" s="744"/>
      <c r="CA114" s="744"/>
      <c r="CB114" s="744"/>
      <c r="CC114" s="744"/>
      <c r="CD114" s="744"/>
      <c r="CE114" s="744"/>
      <c r="CF114" s="744"/>
      <c r="CG114" s="744"/>
      <c r="CH114" s="744"/>
      <c r="CI114" s="744"/>
      <c r="CJ114" s="744"/>
      <c r="CK114" s="744"/>
      <c r="CL114" s="744"/>
      <c r="CM114" s="744"/>
      <c r="CN114" s="744"/>
      <c r="CO114" s="744"/>
      <c r="CP114" s="744"/>
      <c r="CQ114" s="744"/>
      <c r="CR114" s="744"/>
      <c r="CS114" s="744"/>
      <c r="CT114" s="744"/>
      <c r="CU114" s="744"/>
      <c r="CV114" s="744"/>
      <c r="CW114" s="744"/>
      <c r="CX114" s="744"/>
      <c r="CY114" s="744"/>
      <c r="CZ114" s="744"/>
      <c r="DA114" s="744"/>
      <c r="DB114" s="744"/>
      <c r="DC114" s="744"/>
      <c r="DD114" s="744"/>
      <c r="DE114" s="744"/>
      <c r="DF114" s="744"/>
      <c r="DG114" s="744"/>
      <c r="DH114" s="744"/>
      <c r="DI114" s="744"/>
      <c r="DJ114" s="744"/>
      <c r="DK114" s="744"/>
      <c r="DL114" s="744"/>
      <c r="DM114" s="744"/>
      <c r="DN114" s="744"/>
      <c r="DO114" s="744"/>
      <c r="DP114" s="744"/>
      <c r="DQ114" s="744"/>
      <c r="DR114" s="744"/>
      <c r="DS114" s="744"/>
      <c r="DT114" s="744"/>
      <c r="DU114" s="744"/>
      <c r="DV114" s="744"/>
      <c r="DW114" s="744"/>
      <c r="DX114" s="744"/>
      <c r="DY114" s="744"/>
      <c r="DZ114" s="744"/>
      <c r="EA114" s="744"/>
      <c r="EB114" s="744"/>
      <c r="EC114" s="744"/>
      <c r="ED114" s="744"/>
      <c r="EE114" s="744"/>
      <c r="EF114" s="744"/>
      <c r="EG114" s="744"/>
      <c r="EH114" s="744"/>
      <c r="EI114" s="744"/>
      <c r="EJ114" s="744"/>
      <c r="EK114" s="744"/>
      <c r="EL114" s="744"/>
      <c r="EM114" s="744"/>
      <c r="EN114" s="744"/>
      <c r="EO114" s="744"/>
      <c r="EP114" s="744"/>
      <c r="EQ114" s="744"/>
      <c r="ER114" s="744"/>
      <c r="ES114" s="744"/>
      <c r="ET114" s="744"/>
      <c r="EU114" s="744"/>
      <c r="EV114" s="744"/>
      <c r="EW114" s="744"/>
      <c r="EX114" s="744"/>
      <c r="EY114" s="744"/>
      <c r="EZ114" s="744"/>
      <c r="FA114" s="744"/>
      <c r="FB114" s="744"/>
      <c r="FC114" s="744"/>
      <c r="FD114" s="744"/>
      <c r="FE114" s="744"/>
      <c r="FF114" s="744"/>
      <c r="FG114" s="744"/>
      <c r="FH114" s="744"/>
      <c r="FI114" s="744"/>
      <c r="FJ114" s="744"/>
      <c r="FK114" s="744"/>
      <c r="FL114" s="744"/>
      <c r="FM114" s="744"/>
      <c r="FN114" s="744"/>
      <c r="FO114" s="744"/>
      <c r="FP114" s="744"/>
      <c r="FQ114" s="744"/>
      <c r="FR114" s="744"/>
      <c r="FS114" s="744"/>
      <c r="FT114" s="744"/>
      <c r="FU114" s="744"/>
      <c r="FV114" s="744"/>
      <c r="FW114" s="744"/>
      <c r="FX114" s="744"/>
      <c r="FY114" s="744"/>
      <c r="FZ114" s="744"/>
      <c r="GA114" s="744"/>
      <c r="GB114" s="744"/>
      <c r="GC114" s="744"/>
      <c r="GD114" s="744"/>
      <c r="GE114" s="744"/>
      <c r="GF114" s="744"/>
      <c r="GG114" s="744"/>
      <c r="GH114" s="744"/>
      <c r="GI114" s="744"/>
      <c r="GJ114" s="744"/>
      <c r="GK114" s="744"/>
      <c r="GL114" s="744"/>
      <c r="GM114" s="744"/>
      <c r="GN114" s="744"/>
      <c r="GO114" s="744"/>
      <c r="GP114" s="744"/>
      <c r="GQ114" s="744"/>
      <c r="GR114" s="744"/>
      <c r="GS114" s="744"/>
      <c r="GT114" s="744"/>
      <c r="GU114" s="744"/>
      <c r="GV114" s="744"/>
      <c r="GW114" s="744"/>
      <c r="GX114" s="744"/>
      <c r="GY114" s="744"/>
      <c r="GZ114" s="744"/>
      <c r="HA114" s="744"/>
      <c r="HB114" s="744"/>
      <c r="HC114" s="744"/>
      <c r="HD114" s="744"/>
      <c r="HE114" s="744"/>
      <c r="HF114" s="744"/>
      <c r="HG114" s="744"/>
      <c r="HH114" s="744"/>
      <c r="HI114" s="744"/>
      <c r="HJ114" s="744"/>
      <c r="HK114" s="744"/>
      <c r="HL114" s="744"/>
      <c r="HM114" s="744"/>
      <c r="HN114" s="744"/>
      <c r="HO114" s="744"/>
      <c r="HP114" s="744"/>
      <c r="HQ114" s="744"/>
      <c r="HR114" s="744"/>
      <c r="HS114" s="744"/>
      <c r="HT114" s="744"/>
      <c r="HU114" s="744"/>
      <c r="HV114" s="744"/>
      <c r="HW114" s="744"/>
      <c r="HX114" s="744"/>
      <c r="HY114" s="744"/>
      <c r="HZ114" s="744"/>
      <c r="IA114" s="744"/>
      <c r="IB114" s="744"/>
      <c r="IC114" s="744"/>
      <c r="ID114" s="744"/>
      <c r="IE114" s="744"/>
      <c r="IF114" s="744"/>
      <c r="IG114" s="744"/>
      <c r="IH114" s="744"/>
      <c r="II114" s="744"/>
      <c r="IJ114" s="744"/>
      <c r="IK114" s="744"/>
      <c r="IL114" s="744"/>
      <c r="IM114" s="744"/>
      <c r="IN114" s="744"/>
      <c r="IO114" s="744"/>
      <c r="IP114" s="744"/>
      <c r="IQ114" s="744"/>
      <c r="IR114" s="744"/>
      <c r="IS114" s="744"/>
    </row>
    <row r="115" s="73" customFormat="1" ht="15" spans="1:253">
      <c r="A115" s="709" t="s">
        <v>219</v>
      </c>
      <c r="B115" s="682" t="s">
        <v>220</v>
      </c>
      <c r="C115" s="732" t="s">
        <v>154</v>
      </c>
      <c r="D115" s="729" t="s">
        <v>95</v>
      </c>
      <c r="E115" s="733">
        <f>'PB VI - Memorial'!D156</f>
        <v>48.91</v>
      </c>
      <c r="F115" s="711">
        <v>6.44</v>
      </c>
      <c r="G115" s="711">
        <f t="shared" si="10"/>
        <v>314.98</v>
      </c>
      <c r="H115" s="724"/>
      <c r="I115" s="724"/>
      <c r="J115" s="724"/>
      <c r="K115" s="724"/>
      <c r="L115" s="724"/>
      <c r="M115" s="724"/>
      <c r="N115" s="741"/>
      <c r="O115" s="741"/>
      <c r="P115" s="741"/>
      <c r="Q115" s="741"/>
      <c r="R115" s="741"/>
      <c r="S115" s="741"/>
      <c r="T115" s="741"/>
      <c r="U115" s="741"/>
      <c r="V115" s="741"/>
      <c r="W115" s="741"/>
      <c r="X115" s="741"/>
      <c r="Y115" s="741"/>
      <c r="Z115" s="741"/>
      <c r="AA115" s="741"/>
      <c r="AB115" s="741"/>
      <c r="AC115" s="741"/>
      <c r="AD115" s="741"/>
      <c r="AE115" s="741"/>
      <c r="AF115" s="741"/>
      <c r="AG115" s="741"/>
      <c r="AH115" s="741"/>
      <c r="AI115" s="741"/>
      <c r="AJ115" s="741"/>
      <c r="AK115" s="741"/>
      <c r="AL115" s="741"/>
      <c r="AM115" s="741"/>
      <c r="AN115" s="741"/>
      <c r="AO115" s="741"/>
      <c r="AP115" s="741"/>
      <c r="AQ115" s="741"/>
      <c r="AR115" s="741"/>
      <c r="AS115" s="741"/>
      <c r="AT115" s="741"/>
      <c r="AU115" s="741"/>
      <c r="AV115" s="741"/>
      <c r="AW115" s="741"/>
      <c r="AX115" s="741"/>
      <c r="AY115" s="741"/>
      <c r="AZ115" s="741"/>
      <c r="BA115" s="741"/>
      <c r="BB115" s="741"/>
      <c r="BC115" s="741"/>
      <c r="BD115" s="741"/>
      <c r="BE115" s="741"/>
      <c r="BF115" s="741"/>
      <c r="BG115" s="741"/>
      <c r="BH115" s="741"/>
      <c r="BI115" s="741"/>
      <c r="BJ115" s="741"/>
      <c r="BK115" s="741"/>
      <c r="BL115" s="741"/>
      <c r="BM115" s="741"/>
      <c r="BN115" s="741"/>
      <c r="BO115" s="741"/>
      <c r="BP115" s="741"/>
      <c r="BQ115" s="741"/>
      <c r="BR115" s="741"/>
      <c r="BS115" s="741"/>
      <c r="BT115" s="741"/>
      <c r="BU115" s="741"/>
      <c r="BV115" s="741"/>
      <c r="BW115" s="744"/>
      <c r="BX115" s="744"/>
      <c r="BY115" s="744"/>
      <c r="BZ115" s="744"/>
      <c r="CA115" s="744"/>
      <c r="CB115" s="744"/>
      <c r="CC115" s="744"/>
      <c r="CD115" s="744"/>
      <c r="CE115" s="744"/>
      <c r="CF115" s="744"/>
      <c r="CG115" s="744"/>
      <c r="CH115" s="744"/>
      <c r="CI115" s="744"/>
      <c r="CJ115" s="744"/>
      <c r="CK115" s="744"/>
      <c r="CL115" s="744"/>
      <c r="CM115" s="744"/>
      <c r="CN115" s="744"/>
      <c r="CO115" s="744"/>
      <c r="CP115" s="744"/>
      <c r="CQ115" s="744"/>
      <c r="CR115" s="744"/>
      <c r="CS115" s="744"/>
      <c r="CT115" s="744"/>
      <c r="CU115" s="744"/>
      <c r="CV115" s="744"/>
      <c r="CW115" s="744"/>
      <c r="CX115" s="744"/>
      <c r="CY115" s="744"/>
      <c r="CZ115" s="744"/>
      <c r="DA115" s="744"/>
      <c r="DB115" s="744"/>
      <c r="DC115" s="744"/>
      <c r="DD115" s="744"/>
      <c r="DE115" s="744"/>
      <c r="DF115" s="744"/>
      <c r="DG115" s="744"/>
      <c r="DH115" s="744"/>
      <c r="DI115" s="744"/>
      <c r="DJ115" s="744"/>
      <c r="DK115" s="744"/>
      <c r="DL115" s="744"/>
      <c r="DM115" s="744"/>
      <c r="DN115" s="744"/>
      <c r="DO115" s="744"/>
      <c r="DP115" s="744"/>
      <c r="DQ115" s="744"/>
      <c r="DR115" s="744"/>
      <c r="DS115" s="744"/>
      <c r="DT115" s="744"/>
      <c r="DU115" s="744"/>
      <c r="DV115" s="744"/>
      <c r="DW115" s="744"/>
      <c r="DX115" s="744"/>
      <c r="DY115" s="744"/>
      <c r="DZ115" s="744"/>
      <c r="EA115" s="744"/>
      <c r="EB115" s="744"/>
      <c r="EC115" s="744"/>
      <c r="ED115" s="744"/>
      <c r="EE115" s="744"/>
      <c r="EF115" s="744"/>
      <c r="EG115" s="744"/>
      <c r="EH115" s="744"/>
      <c r="EI115" s="744"/>
      <c r="EJ115" s="744"/>
      <c r="EK115" s="744"/>
      <c r="EL115" s="744"/>
      <c r="EM115" s="744"/>
      <c r="EN115" s="744"/>
      <c r="EO115" s="744"/>
      <c r="EP115" s="744"/>
      <c r="EQ115" s="744"/>
      <c r="ER115" s="744"/>
      <c r="ES115" s="744"/>
      <c r="ET115" s="744"/>
      <c r="EU115" s="744"/>
      <c r="EV115" s="744"/>
      <c r="EW115" s="744"/>
      <c r="EX115" s="744"/>
      <c r="EY115" s="744"/>
      <c r="EZ115" s="744"/>
      <c r="FA115" s="744"/>
      <c r="FB115" s="744"/>
      <c r="FC115" s="744"/>
      <c r="FD115" s="744"/>
      <c r="FE115" s="744"/>
      <c r="FF115" s="744"/>
      <c r="FG115" s="744"/>
      <c r="FH115" s="744"/>
      <c r="FI115" s="744"/>
      <c r="FJ115" s="744"/>
      <c r="FK115" s="744"/>
      <c r="FL115" s="744"/>
      <c r="FM115" s="744"/>
      <c r="FN115" s="744"/>
      <c r="FO115" s="744"/>
      <c r="FP115" s="744"/>
      <c r="FQ115" s="744"/>
      <c r="FR115" s="744"/>
      <c r="FS115" s="744"/>
      <c r="FT115" s="744"/>
      <c r="FU115" s="744"/>
      <c r="FV115" s="744"/>
      <c r="FW115" s="744"/>
      <c r="FX115" s="744"/>
      <c r="FY115" s="744"/>
      <c r="FZ115" s="744"/>
      <c r="GA115" s="744"/>
      <c r="GB115" s="744"/>
      <c r="GC115" s="744"/>
      <c r="GD115" s="744"/>
      <c r="GE115" s="744"/>
      <c r="GF115" s="744"/>
      <c r="GG115" s="744"/>
      <c r="GH115" s="744"/>
      <c r="GI115" s="744"/>
      <c r="GJ115" s="744"/>
      <c r="GK115" s="744"/>
      <c r="GL115" s="744"/>
      <c r="GM115" s="744"/>
      <c r="GN115" s="744"/>
      <c r="GO115" s="744"/>
      <c r="GP115" s="744"/>
      <c r="GQ115" s="744"/>
      <c r="GR115" s="744"/>
      <c r="GS115" s="744"/>
      <c r="GT115" s="744"/>
      <c r="GU115" s="744"/>
      <c r="GV115" s="744"/>
      <c r="GW115" s="744"/>
      <c r="GX115" s="744"/>
      <c r="GY115" s="744"/>
      <c r="GZ115" s="744"/>
      <c r="HA115" s="744"/>
      <c r="HB115" s="744"/>
      <c r="HC115" s="744"/>
      <c r="HD115" s="744"/>
      <c r="HE115" s="744"/>
      <c r="HF115" s="744"/>
      <c r="HG115" s="744"/>
      <c r="HH115" s="744"/>
      <c r="HI115" s="744"/>
      <c r="HJ115" s="744"/>
      <c r="HK115" s="744"/>
      <c r="HL115" s="744"/>
      <c r="HM115" s="744"/>
      <c r="HN115" s="744"/>
      <c r="HO115" s="744"/>
      <c r="HP115" s="744"/>
      <c r="HQ115" s="744"/>
      <c r="HR115" s="744"/>
      <c r="HS115" s="744"/>
      <c r="HT115" s="744"/>
      <c r="HU115" s="744"/>
      <c r="HV115" s="744"/>
      <c r="HW115" s="744"/>
      <c r="HX115" s="744"/>
      <c r="HY115" s="744"/>
      <c r="HZ115" s="744"/>
      <c r="IA115" s="744"/>
      <c r="IB115" s="744"/>
      <c r="IC115" s="744"/>
      <c r="ID115" s="744"/>
      <c r="IE115" s="744"/>
      <c r="IF115" s="744"/>
      <c r="IG115" s="744"/>
      <c r="IH115" s="744"/>
      <c r="II115" s="744"/>
      <c r="IJ115" s="744"/>
      <c r="IK115" s="744"/>
      <c r="IL115" s="744"/>
      <c r="IM115" s="744"/>
      <c r="IN115" s="744"/>
      <c r="IO115" s="744"/>
      <c r="IP115" s="744"/>
      <c r="IQ115" s="744"/>
      <c r="IR115" s="744"/>
      <c r="IS115" s="744"/>
    </row>
    <row r="116" s="73" customFormat="1" ht="15" spans="1:253">
      <c r="A116" s="709" t="s">
        <v>221</v>
      </c>
      <c r="B116" s="682" t="s">
        <v>222</v>
      </c>
      <c r="C116" s="732" t="s">
        <v>157</v>
      </c>
      <c r="D116" s="729" t="s">
        <v>95</v>
      </c>
      <c r="E116" s="733">
        <f>'PB VI - Memorial'!E156</f>
        <v>79.64</v>
      </c>
      <c r="F116" s="711">
        <v>5.55</v>
      </c>
      <c r="G116" s="711">
        <f t="shared" ref="G116" si="11">ROUND(E116*F116,2)</f>
        <v>442</v>
      </c>
      <c r="H116" s="724"/>
      <c r="I116" s="724"/>
      <c r="J116" s="724"/>
      <c r="K116" s="724"/>
      <c r="L116" s="724"/>
      <c r="M116" s="724"/>
      <c r="N116" s="741"/>
      <c r="O116" s="741"/>
      <c r="P116" s="741"/>
      <c r="Q116" s="741"/>
      <c r="R116" s="741"/>
      <c r="S116" s="741"/>
      <c r="T116" s="741"/>
      <c r="U116" s="741"/>
      <c r="V116" s="741"/>
      <c r="W116" s="741"/>
      <c r="X116" s="741"/>
      <c r="Y116" s="741"/>
      <c r="Z116" s="741"/>
      <c r="AA116" s="741"/>
      <c r="AB116" s="741"/>
      <c r="AC116" s="741"/>
      <c r="AD116" s="741"/>
      <c r="AE116" s="741"/>
      <c r="AF116" s="741"/>
      <c r="AG116" s="741"/>
      <c r="AH116" s="741"/>
      <c r="AI116" s="741"/>
      <c r="AJ116" s="741"/>
      <c r="AK116" s="741"/>
      <c r="AL116" s="741"/>
      <c r="AM116" s="741"/>
      <c r="AN116" s="741"/>
      <c r="AO116" s="741"/>
      <c r="AP116" s="741"/>
      <c r="AQ116" s="741"/>
      <c r="AR116" s="741"/>
      <c r="AS116" s="741"/>
      <c r="AT116" s="741"/>
      <c r="AU116" s="741"/>
      <c r="AV116" s="741"/>
      <c r="AW116" s="741"/>
      <c r="AX116" s="741"/>
      <c r="AY116" s="741"/>
      <c r="AZ116" s="741"/>
      <c r="BA116" s="741"/>
      <c r="BB116" s="741"/>
      <c r="BC116" s="741"/>
      <c r="BD116" s="741"/>
      <c r="BE116" s="741"/>
      <c r="BF116" s="741"/>
      <c r="BG116" s="741"/>
      <c r="BH116" s="741"/>
      <c r="BI116" s="741"/>
      <c r="BJ116" s="741"/>
      <c r="BK116" s="741"/>
      <c r="BL116" s="741"/>
      <c r="BM116" s="741"/>
      <c r="BN116" s="741"/>
      <c r="BO116" s="741"/>
      <c r="BP116" s="741"/>
      <c r="BQ116" s="741"/>
      <c r="BR116" s="741"/>
      <c r="BS116" s="741"/>
      <c r="BT116" s="741"/>
      <c r="BU116" s="741"/>
      <c r="BV116" s="741"/>
      <c r="BW116" s="744"/>
      <c r="BX116" s="744"/>
      <c r="BY116" s="744"/>
      <c r="BZ116" s="744"/>
      <c r="CA116" s="744"/>
      <c r="CB116" s="744"/>
      <c r="CC116" s="744"/>
      <c r="CD116" s="744"/>
      <c r="CE116" s="744"/>
      <c r="CF116" s="744"/>
      <c r="CG116" s="744"/>
      <c r="CH116" s="744"/>
      <c r="CI116" s="744"/>
      <c r="CJ116" s="744"/>
      <c r="CK116" s="744"/>
      <c r="CL116" s="744"/>
      <c r="CM116" s="744"/>
      <c r="CN116" s="744"/>
      <c r="CO116" s="744"/>
      <c r="CP116" s="744"/>
      <c r="CQ116" s="744"/>
      <c r="CR116" s="744"/>
      <c r="CS116" s="744"/>
      <c r="CT116" s="744"/>
      <c r="CU116" s="744"/>
      <c r="CV116" s="744"/>
      <c r="CW116" s="744"/>
      <c r="CX116" s="744"/>
      <c r="CY116" s="744"/>
      <c r="CZ116" s="744"/>
      <c r="DA116" s="744"/>
      <c r="DB116" s="744"/>
      <c r="DC116" s="744"/>
      <c r="DD116" s="744"/>
      <c r="DE116" s="744"/>
      <c r="DF116" s="744"/>
      <c r="DG116" s="744"/>
      <c r="DH116" s="744"/>
      <c r="DI116" s="744"/>
      <c r="DJ116" s="744"/>
      <c r="DK116" s="744"/>
      <c r="DL116" s="744"/>
      <c r="DM116" s="744"/>
      <c r="DN116" s="744"/>
      <c r="DO116" s="744"/>
      <c r="DP116" s="744"/>
      <c r="DQ116" s="744"/>
      <c r="DR116" s="744"/>
      <c r="DS116" s="744"/>
      <c r="DT116" s="744"/>
      <c r="DU116" s="744"/>
      <c r="DV116" s="744"/>
      <c r="DW116" s="744"/>
      <c r="DX116" s="744"/>
      <c r="DY116" s="744"/>
      <c r="DZ116" s="744"/>
      <c r="EA116" s="744"/>
      <c r="EB116" s="744"/>
      <c r="EC116" s="744"/>
      <c r="ED116" s="744"/>
      <c r="EE116" s="744"/>
      <c r="EF116" s="744"/>
      <c r="EG116" s="744"/>
      <c r="EH116" s="744"/>
      <c r="EI116" s="744"/>
      <c r="EJ116" s="744"/>
      <c r="EK116" s="744"/>
      <c r="EL116" s="744"/>
      <c r="EM116" s="744"/>
      <c r="EN116" s="744"/>
      <c r="EO116" s="744"/>
      <c r="EP116" s="744"/>
      <c r="EQ116" s="744"/>
      <c r="ER116" s="744"/>
      <c r="ES116" s="744"/>
      <c r="ET116" s="744"/>
      <c r="EU116" s="744"/>
      <c r="EV116" s="744"/>
      <c r="EW116" s="744"/>
      <c r="EX116" s="744"/>
      <c r="EY116" s="744"/>
      <c r="EZ116" s="744"/>
      <c r="FA116" s="744"/>
      <c r="FB116" s="744"/>
      <c r="FC116" s="744"/>
      <c r="FD116" s="744"/>
      <c r="FE116" s="744"/>
      <c r="FF116" s="744"/>
      <c r="FG116" s="744"/>
      <c r="FH116" s="744"/>
      <c r="FI116" s="744"/>
      <c r="FJ116" s="744"/>
      <c r="FK116" s="744"/>
      <c r="FL116" s="744"/>
      <c r="FM116" s="744"/>
      <c r="FN116" s="744"/>
      <c r="FO116" s="744"/>
      <c r="FP116" s="744"/>
      <c r="FQ116" s="744"/>
      <c r="FR116" s="744"/>
      <c r="FS116" s="744"/>
      <c r="FT116" s="744"/>
      <c r="FU116" s="744"/>
      <c r="FV116" s="744"/>
      <c r="FW116" s="744"/>
      <c r="FX116" s="744"/>
      <c r="FY116" s="744"/>
      <c r="FZ116" s="744"/>
      <c r="GA116" s="744"/>
      <c r="GB116" s="744"/>
      <c r="GC116" s="744"/>
      <c r="GD116" s="744"/>
      <c r="GE116" s="744"/>
      <c r="GF116" s="744"/>
      <c r="GG116" s="744"/>
      <c r="GH116" s="744"/>
      <c r="GI116" s="744"/>
      <c r="GJ116" s="744"/>
      <c r="GK116" s="744"/>
      <c r="GL116" s="744"/>
      <c r="GM116" s="744"/>
      <c r="GN116" s="744"/>
      <c r="GO116" s="744"/>
      <c r="GP116" s="744"/>
      <c r="GQ116" s="744"/>
      <c r="GR116" s="744"/>
      <c r="GS116" s="744"/>
      <c r="GT116" s="744"/>
      <c r="GU116" s="744"/>
      <c r="GV116" s="744"/>
      <c r="GW116" s="744"/>
      <c r="GX116" s="744"/>
      <c r="GY116" s="744"/>
      <c r="GZ116" s="744"/>
      <c r="HA116" s="744"/>
      <c r="HB116" s="744"/>
      <c r="HC116" s="744"/>
      <c r="HD116" s="744"/>
      <c r="HE116" s="744"/>
      <c r="HF116" s="744"/>
      <c r="HG116" s="744"/>
      <c r="HH116" s="744"/>
      <c r="HI116" s="744"/>
      <c r="HJ116" s="744"/>
      <c r="HK116" s="744"/>
      <c r="HL116" s="744"/>
      <c r="HM116" s="744"/>
      <c r="HN116" s="744"/>
      <c r="HO116" s="744"/>
      <c r="HP116" s="744"/>
      <c r="HQ116" s="744"/>
      <c r="HR116" s="744"/>
      <c r="HS116" s="744"/>
      <c r="HT116" s="744"/>
      <c r="HU116" s="744"/>
      <c r="HV116" s="744"/>
      <c r="HW116" s="744"/>
      <c r="HX116" s="744"/>
      <c r="HY116" s="744"/>
      <c r="HZ116" s="744"/>
      <c r="IA116" s="744"/>
      <c r="IB116" s="744"/>
      <c r="IC116" s="744"/>
      <c r="ID116" s="744"/>
      <c r="IE116" s="744"/>
      <c r="IF116" s="744"/>
      <c r="IG116" s="744"/>
      <c r="IH116" s="744"/>
      <c r="II116" s="744"/>
      <c r="IJ116" s="744"/>
      <c r="IK116" s="744"/>
      <c r="IL116" s="744"/>
      <c r="IM116" s="744"/>
      <c r="IN116" s="744"/>
      <c r="IO116" s="744"/>
      <c r="IP116" s="744"/>
      <c r="IQ116" s="744"/>
      <c r="IR116" s="744"/>
      <c r="IS116" s="744"/>
    </row>
    <row r="117" s="73" customFormat="1" ht="15" spans="1:253">
      <c r="A117" s="709" t="s">
        <v>223</v>
      </c>
      <c r="B117" s="682" t="s">
        <v>224</v>
      </c>
      <c r="C117" s="732" t="s">
        <v>182</v>
      </c>
      <c r="D117" s="729" t="s">
        <v>95</v>
      </c>
      <c r="E117" s="733">
        <f>'PB VI - Memorial'!G156</f>
        <v>817.09</v>
      </c>
      <c r="F117" s="711">
        <v>9.74</v>
      </c>
      <c r="G117" s="711">
        <f t="shared" ref="G117" si="12">ROUND(E117*F117,2)</f>
        <v>7958.46</v>
      </c>
      <c r="H117" s="724"/>
      <c r="I117" s="724"/>
      <c r="J117" s="724"/>
      <c r="K117" s="724"/>
      <c r="L117" s="724"/>
      <c r="M117" s="724"/>
      <c r="N117" s="741"/>
      <c r="O117" s="741"/>
      <c r="P117" s="741"/>
      <c r="Q117" s="741"/>
      <c r="R117" s="741"/>
      <c r="S117" s="741"/>
      <c r="T117" s="741"/>
      <c r="U117" s="741"/>
      <c r="V117" s="741"/>
      <c r="W117" s="741"/>
      <c r="X117" s="741"/>
      <c r="Y117" s="741"/>
      <c r="Z117" s="741"/>
      <c r="AA117" s="741"/>
      <c r="AB117" s="741"/>
      <c r="AC117" s="741"/>
      <c r="AD117" s="741"/>
      <c r="AE117" s="741"/>
      <c r="AF117" s="741"/>
      <c r="AG117" s="741"/>
      <c r="AH117" s="741"/>
      <c r="AI117" s="741"/>
      <c r="AJ117" s="741"/>
      <c r="AK117" s="741"/>
      <c r="AL117" s="741"/>
      <c r="AM117" s="741"/>
      <c r="AN117" s="741"/>
      <c r="AO117" s="741"/>
      <c r="AP117" s="741"/>
      <c r="AQ117" s="741"/>
      <c r="AR117" s="741"/>
      <c r="AS117" s="741"/>
      <c r="AT117" s="741"/>
      <c r="AU117" s="741"/>
      <c r="AV117" s="741"/>
      <c r="AW117" s="741"/>
      <c r="AX117" s="741"/>
      <c r="AY117" s="741"/>
      <c r="AZ117" s="741"/>
      <c r="BA117" s="741"/>
      <c r="BB117" s="741"/>
      <c r="BC117" s="741"/>
      <c r="BD117" s="741"/>
      <c r="BE117" s="741"/>
      <c r="BF117" s="741"/>
      <c r="BG117" s="741"/>
      <c r="BH117" s="741"/>
      <c r="BI117" s="741"/>
      <c r="BJ117" s="741"/>
      <c r="BK117" s="741"/>
      <c r="BL117" s="741"/>
      <c r="BM117" s="741"/>
      <c r="BN117" s="741"/>
      <c r="BO117" s="741"/>
      <c r="BP117" s="741"/>
      <c r="BQ117" s="741"/>
      <c r="BR117" s="741"/>
      <c r="BS117" s="741"/>
      <c r="BT117" s="741"/>
      <c r="BU117" s="741"/>
      <c r="BV117" s="741"/>
      <c r="BW117" s="744"/>
      <c r="BX117" s="744"/>
      <c r="BY117" s="744"/>
      <c r="BZ117" s="744"/>
      <c r="CA117" s="744"/>
      <c r="CB117" s="744"/>
      <c r="CC117" s="744"/>
      <c r="CD117" s="744"/>
      <c r="CE117" s="744"/>
      <c r="CF117" s="744"/>
      <c r="CG117" s="744"/>
      <c r="CH117" s="744"/>
      <c r="CI117" s="744"/>
      <c r="CJ117" s="744"/>
      <c r="CK117" s="744"/>
      <c r="CL117" s="744"/>
      <c r="CM117" s="744"/>
      <c r="CN117" s="744"/>
      <c r="CO117" s="744"/>
      <c r="CP117" s="744"/>
      <c r="CQ117" s="744"/>
      <c r="CR117" s="744"/>
      <c r="CS117" s="744"/>
      <c r="CT117" s="744"/>
      <c r="CU117" s="744"/>
      <c r="CV117" s="744"/>
      <c r="CW117" s="744"/>
      <c r="CX117" s="744"/>
      <c r="CY117" s="744"/>
      <c r="CZ117" s="744"/>
      <c r="DA117" s="744"/>
      <c r="DB117" s="744"/>
      <c r="DC117" s="744"/>
      <c r="DD117" s="744"/>
      <c r="DE117" s="744"/>
      <c r="DF117" s="744"/>
      <c r="DG117" s="744"/>
      <c r="DH117" s="744"/>
      <c r="DI117" s="744"/>
      <c r="DJ117" s="744"/>
      <c r="DK117" s="744"/>
      <c r="DL117" s="744"/>
      <c r="DM117" s="744"/>
      <c r="DN117" s="744"/>
      <c r="DO117" s="744"/>
      <c r="DP117" s="744"/>
      <c r="DQ117" s="744"/>
      <c r="DR117" s="744"/>
      <c r="DS117" s="744"/>
      <c r="DT117" s="744"/>
      <c r="DU117" s="744"/>
      <c r="DV117" s="744"/>
      <c r="DW117" s="744"/>
      <c r="DX117" s="744"/>
      <c r="DY117" s="744"/>
      <c r="DZ117" s="744"/>
      <c r="EA117" s="744"/>
      <c r="EB117" s="744"/>
      <c r="EC117" s="744"/>
      <c r="ED117" s="744"/>
      <c r="EE117" s="744"/>
      <c r="EF117" s="744"/>
      <c r="EG117" s="744"/>
      <c r="EH117" s="744"/>
      <c r="EI117" s="744"/>
      <c r="EJ117" s="744"/>
      <c r="EK117" s="744"/>
      <c r="EL117" s="744"/>
      <c r="EM117" s="744"/>
      <c r="EN117" s="744"/>
      <c r="EO117" s="744"/>
      <c r="EP117" s="744"/>
      <c r="EQ117" s="744"/>
      <c r="ER117" s="744"/>
      <c r="ES117" s="744"/>
      <c r="ET117" s="744"/>
      <c r="EU117" s="744"/>
      <c r="EV117" s="744"/>
      <c r="EW117" s="744"/>
      <c r="EX117" s="744"/>
      <c r="EY117" s="744"/>
      <c r="EZ117" s="744"/>
      <c r="FA117" s="744"/>
      <c r="FB117" s="744"/>
      <c r="FC117" s="744"/>
      <c r="FD117" s="744"/>
      <c r="FE117" s="744"/>
      <c r="FF117" s="744"/>
      <c r="FG117" s="744"/>
      <c r="FH117" s="744"/>
      <c r="FI117" s="744"/>
      <c r="FJ117" s="744"/>
      <c r="FK117" s="744"/>
      <c r="FL117" s="744"/>
      <c r="FM117" s="744"/>
      <c r="FN117" s="744"/>
      <c r="FO117" s="744"/>
      <c r="FP117" s="744"/>
      <c r="FQ117" s="744"/>
      <c r="FR117" s="744"/>
      <c r="FS117" s="744"/>
      <c r="FT117" s="744"/>
      <c r="FU117" s="744"/>
      <c r="FV117" s="744"/>
      <c r="FW117" s="744"/>
      <c r="FX117" s="744"/>
      <c r="FY117" s="744"/>
      <c r="FZ117" s="744"/>
      <c r="GA117" s="744"/>
      <c r="GB117" s="744"/>
      <c r="GC117" s="744"/>
      <c r="GD117" s="744"/>
      <c r="GE117" s="744"/>
      <c r="GF117" s="744"/>
      <c r="GG117" s="744"/>
      <c r="GH117" s="744"/>
      <c r="GI117" s="744"/>
      <c r="GJ117" s="744"/>
      <c r="GK117" s="744"/>
      <c r="GL117" s="744"/>
      <c r="GM117" s="744"/>
      <c r="GN117" s="744"/>
      <c r="GO117" s="744"/>
      <c r="GP117" s="744"/>
      <c r="GQ117" s="744"/>
      <c r="GR117" s="744"/>
      <c r="GS117" s="744"/>
      <c r="GT117" s="744"/>
      <c r="GU117" s="744"/>
      <c r="GV117" s="744"/>
      <c r="GW117" s="744"/>
      <c r="GX117" s="744"/>
      <c r="GY117" s="744"/>
      <c r="GZ117" s="744"/>
      <c r="HA117" s="744"/>
      <c r="HB117" s="744"/>
      <c r="HC117" s="744"/>
      <c r="HD117" s="744"/>
      <c r="HE117" s="744"/>
      <c r="HF117" s="744"/>
      <c r="HG117" s="744"/>
      <c r="HH117" s="744"/>
      <c r="HI117" s="744"/>
      <c r="HJ117" s="744"/>
      <c r="HK117" s="744"/>
      <c r="HL117" s="744"/>
      <c r="HM117" s="744"/>
      <c r="HN117" s="744"/>
      <c r="HO117" s="744"/>
      <c r="HP117" s="744"/>
      <c r="HQ117" s="744"/>
      <c r="HR117" s="744"/>
      <c r="HS117" s="744"/>
      <c r="HT117" s="744"/>
      <c r="HU117" s="744"/>
      <c r="HV117" s="744"/>
      <c r="HW117" s="744"/>
      <c r="HX117" s="744"/>
      <c r="HY117" s="744"/>
      <c r="HZ117" s="744"/>
      <c r="IA117" s="744"/>
      <c r="IB117" s="744"/>
      <c r="IC117" s="744"/>
      <c r="ID117" s="744"/>
      <c r="IE117" s="744"/>
      <c r="IF117" s="744"/>
      <c r="IG117" s="744"/>
      <c r="IH117" s="744"/>
      <c r="II117" s="744"/>
      <c r="IJ117" s="744"/>
      <c r="IK117" s="744"/>
      <c r="IL117" s="744"/>
      <c r="IM117" s="744"/>
      <c r="IN117" s="744"/>
      <c r="IO117" s="744"/>
      <c r="IP117" s="744"/>
      <c r="IQ117" s="744"/>
      <c r="IR117" s="744"/>
      <c r="IS117" s="744"/>
    </row>
    <row r="118" s="73" customFormat="1" ht="15" spans="1:253">
      <c r="A118" s="734"/>
      <c r="B118" s="735" t="s">
        <v>225</v>
      </c>
      <c r="C118" s="736" t="s">
        <v>226</v>
      </c>
      <c r="D118" s="729"/>
      <c r="E118" s="733"/>
      <c r="F118" s="711"/>
      <c r="G118" s="711"/>
      <c r="H118" s="724"/>
      <c r="I118" s="724"/>
      <c r="J118" s="724"/>
      <c r="K118" s="724"/>
      <c r="L118" s="724"/>
      <c r="M118" s="724"/>
      <c r="N118" s="741"/>
      <c r="O118" s="741"/>
      <c r="P118" s="741"/>
      <c r="Q118" s="741"/>
      <c r="R118" s="741"/>
      <c r="S118" s="741"/>
      <c r="T118" s="741"/>
      <c r="U118" s="741"/>
      <c r="V118" s="741"/>
      <c r="W118" s="741"/>
      <c r="X118" s="741"/>
      <c r="Y118" s="741"/>
      <c r="Z118" s="741"/>
      <c r="AA118" s="741"/>
      <c r="AB118" s="741"/>
      <c r="AC118" s="741"/>
      <c r="AD118" s="741"/>
      <c r="AE118" s="741"/>
      <c r="AF118" s="741"/>
      <c r="AG118" s="741"/>
      <c r="AH118" s="741"/>
      <c r="AI118" s="741"/>
      <c r="AJ118" s="741"/>
      <c r="AK118" s="741"/>
      <c r="AL118" s="741"/>
      <c r="AM118" s="741"/>
      <c r="AN118" s="741"/>
      <c r="AO118" s="741"/>
      <c r="AP118" s="741"/>
      <c r="AQ118" s="741"/>
      <c r="AR118" s="741"/>
      <c r="AS118" s="741"/>
      <c r="AT118" s="741"/>
      <c r="AU118" s="741"/>
      <c r="AV118" s="741"/>
      <c r="AW118" s="741"/>
      <c r="AX118" s="741"/>
      <c r="AY118" s="741"/>
      <c r="AZ118" s="741"/>
      <c r="BA118" s="741"/>
      <c r="BB118" s="741"/>
      <c r="BC118" s="741"/>
      <c r="BD118" s="741"/>
      <c r="BE118" s="741"/>
      <c r="BF118" s="741"/>
      <c r="BG118" s="741"/>
      <c r="BH118" s="741"/>
      <c r="BI118" s="741"/>
      <c r="BJ118" s="741"/>
      <c r="BK118" s="741"/>
      <c r="BL118" s="741"/>
      <c r="BM118" s="741"/>
      <c r="BN118" s="741"/>
      <c r="BO118" s="741"/>
      <c r="BP118" s="741"/>
      <c r="BQ118" s="741"/>
      <c r="BR118" s="741"/>
      <c r="BS118" s="741"/>
      <c r="BT118" s="741"/>
      <c r="BU118" s="741"/>
      <c r="BV118" s="741"/>
      <c r="BW118" s="744"/>
      <c r="BX118" s="744"/>
      <c r="BY118" s="744"/>
      <c r="BZ118" s="744"/>
      <c r="CA118" s="744"/>
      <c r="CB118" s="744"/>
      <c r="CC118" s="744"/>
      <c r="CD118" s="744"/>
      <c r="CE118" s="744"/>
      <c r="CF118" s="744"/>
      <c r="CG118" s="744"/>
      <c r="CH118" s="744"/>
      <c r="CI118" s="744"/>
      <c r="CJ118" s="744"/>
      <c r="CK118" s="744"/>
      <c r="CL118" s="744"/>
      <c r="CM118" s="744"/>
      <c r="CN118" s="744"/>
      <c r="CO118" s="744"/>
      <c r="CP118" s="744"/>
      <c r="CQ118" s="744"/>
      <c r="CR118" s="744"/>
      <c r="CS118" s="744"/>
      <c r="CT118" s="744"/>
      <c r="CU118" s="744"/>
      <c r="CV118" s="744"/>
      <c r="CW118" s="744"/>
      <c r="CX118" s="744"/>
      <c r="CY118" s="744"/>
      <c r="CZ118" s="744"/>
      <c r="DA118" s="744"/>
      <c r="DB118" s="744"/>
      <c r="DC118" s="744"/>
      <c r="DD118" s="744"/>
      <c r="DE118" s="744"/>
      <c r="DF118" s="744"/>
      <c r="DG118" s="744"/>
      <c r="DH118" s="744"/>
      <c r="DI118" s="744"/>
      <c r="DJ118" s="744"/>
      <c r="DK118" s="744"/>
      <c r="DL118" s="744"/>
      <c r="DM118" s="744"/>
      <c r="DN118" s="744"/>
      <c r="DO118" s="744"/>
      <c r="DP118" s="744"/>
      <c r="DQ118" s="744"/>
      <c r="DR118" s="744"/>
      <c r="DS118" s="744"/>
      <c r="DT118" s="744"/>
      <c r="DU118" s="744"/>
      <c r="DV118" s="744"/>
      <c r="DW118" s="744"/>
      <c r="DX118" s="744"/>
      <c r="DY118" s="744"/>
      <c r="DZ118" s="744"/>
      <c r="EA118" s="744"/>
      <c r="EB118" s="744"/>
      <c r="EC118" s="744"/>
      <c r="ED118" s="744"/>
      <c r="EE118" s="744"/>
      <c r="EF118" s="744"/>
      <c r="EG118" s="744"/>
      <c r="EH118" s="744"/>
      <c r="EI118" s="744"/>
      <c r="EJ118" s="744"/>
      <c r="EK118" s="744"/>
      <c r="EL118" s="744"/>
      <c r="EM118" s="744"/>
      <c r="EN118" s="744"/>
      <c r="EO118" s="744"/>
      <c r="EP118" s="744"/>
      <c r="EQ118" s="744"/>
      <c r="ER118" s="744"/>
      <c r="ES118" s="744"/>
      <c r="ET118" s="744"/>
      <c r="EU118" s="744"/>
      <c r="EV118" s="744"/>
      <c r="EW118" s="744"/>
      <c r="EX118" s="744"/>
      <c r="EY118" s="744"/>
      <c r="EZ118" s="744"/>
      <c r="FA118" s="744"/>
      <c r="FB118" s="744"/>
      <c r="FC118" s="744"/>
      <c r="FD118" s="744"/>
      <c r="FE118" s="744"/>
      <c r="FF118" s="744"/>
      <c r="FG118" s="744"/>
      <c r="FH118" s="744"/>
      <c r="FI118" s="744"/>
      <c r="FJ118" s="744"/>
      <c r="FK118" s="744"/>
      <c r="FL118" s="744"/>
      <c r="FM118" s="744"/>
      <c r="FN118" s="744"/>
      <c r="FO118" s="744"/>
      <c r="FP118" s="744"/>
      <c r="FQ118" s="744"/>
      <c r="FR118" s="744"/>
      <c r="FS118" s="744"/>
      <c r="FT118" s="744"/>
      <c r="FU118" s="744"/>
      <c r="FV118" s="744"/>
      <c r="FW118" s="744"/>
      <c r="FX118" s="744"/>
      <c r="FY118" s="744"/>
      <c r="FZ118" s="744"/>
      <c r="GA118" s="744"/>
      <c r="GB118" s="744"/>
      <c r="GC118" s="744"/>
      <c r="GD118" s="744"/>
      <c r="GE118" s="744"/>
      <c r="GF118" s="744"/>
      <c r="GG118" s="744"/>
      <c r="GH118" s="744"/>
      <c r="GI118" s="744"/>
      <c r="GJ118" s="744"/>
      <c r="GK118" s="744"/>
      <c r="GL118" s="744"/>
      <c r="GM118" s="744"/>
      <c r="GN118" s="744"/>
      <c r="GO118" s="744"/>
      <c r="GP118" s="744"/>
      <c r="GQ118" s="744"/>
      <c r="GR118" s="744"/>
      <c r="GS118" s="744"/>
      <c r="GT118" s="744"/>
      <c r="GU118" s="744"/>
      <c r="GV118" s="744"/>
      <c r="GW118" s="744"/>
      <c r="GX118" s="744"/>
      <c r="GY118" s="744"/>
      <c r="GZ118" s="744"/>
      <c r="HA118" s="744"/>
      <c r="HB118" s="744"/>
      <c r="HC118" s="744"/>
      <c r="HD118" s="744"/>
      <c r="HE118" s="744"/>
      <c r="HF118" s="744"/>
      <c r="HG118" s="744"/>
      <c r="HH118" s="744"/>
      <c r="HI118" s="744"/>
      <c r="HJ118" s="744"/>
      <c r="HK118" s="744"/>
      <c r="HL118" s="744"/>
      <c r="HM118" s="744"/>
      <c r="HN118" s="744"/>
      <c r="HO118" s="744"/>
      <c r="HP118" s="744"/>
      <c r="HQ118" s="744"/>
      <c r="HR118" s="744"/>
      <c r="HS118" s="744"/>
      <c r="HT118" s="744"/>
      <c r="HU118" s="744"/>
      <c r="HV118" s="744"/>
      <c r="HW118" s="744"/>
      <c r="HX118" s="744"/>
      <c r="HY118" s="744"/>
      <c r="HZ118" s="744"/>
      <c r="IA118" s="744"/>
      <c r="IB118" s="744"/>
      <c r="IC118" s="744"/>
      <c r="ID118" s="744"/>
      <c r="IE118" s="744"/>
      <c r="IF118" s="744"/>
      <c r="IG118" s="744"/>
      <c r="IH118" s="744"/>
      <c r="II118" s="744"/>
      <c r="IJ118" s="744"/>
      <c r="IK118" s="744"/>
      <c r="IL118" s="744"/>
      <c r="IM118" s="744"/>
      <c r="IN118" s="744"/>
      <c r="IO118" s="744"/>
      <c r="IP118" s="744"/>
      <c r="IQ118" s="744"/>
      <c r="IR118" s="744"/>
      <c r="IS118" s="744"/>
    </row>
    <row r="119" s="73" customFormat="1" ht="15" spans="1:253">
      <c r="A119" s="709" t="s">
        <v>139</v>
      </c>
      <c r="B119" s="682" t="s">
        <v>227</v>
      </c>
      <c r="C119" s="732" t="s">
        <v>167</v>
      </c>
      <c r="D119" s="729" t="s">
        <v>56</v>
      </c>
      <c r="E119" s="733">
        <f>'PB VI - Memorial'!B159</f>
        <v>0.63</v>
      </c>
      <c r="F119" s="711">
        <f>F102</f>
        <v>393.85</v>
      </c>
      <c r="G119" s="711">
        <f t="shared" si="6"/>
        <v>248.13</v>
      </c>
      <c r="H119" s="724"/>
      <c r="I119" s="724"/>
      <c r="J119" s="724"/>
      <c r="K119" s="724"/>
      <c r="L119" s="724"/>
      <c r="M119" s="724"/>
      <c r="N119" s="741"/>
      <c r="O119" s="741"/>
      <c r="P119" s="741"/>
      <c r="Q119" s="741"/>
      <c r="R119" s="741"/>
      <c r="S119" s="741"/>
      <c r="T119" s="741"/>
      <c r="U119" s="741"/>
      <c r="V119" s="741"/>
      <c r="W119" s="741"/>
      <c r="X119" s="741"/>
      <c r="Y119" s="741"/>
      <c r="Z119" s="741"/>
      <c r="AA119" s="741"/>
      <c r="AB119" s="741"/>
      <c r="AC119" s="741"/>
      <c r="AD119" s="741"/>
      <c r="AE119" s="741"/>
      <c r="AF119" s="741"/>
      <c r="AG119" s="741"/>
      <c r="AH119" s="741"/>
      <c r="AI119" s="741"/>
      <c r="AJ119" s="741"/>
      <c r="AK119" s="741"/>
      <c r="AL119" s="741"/>
      <c r="AM119" s="741"/>
      <c r="AN119" s="741"/>
      <c r="AO119" s="741"/>
      <c r="AP119" s="741"/>
      <c r="AQ119" s="741"/>
      <c r="AR119" s="741"/>
      <c r="AS119" s="741"/>
      <c r="AT119" s="741"/>
      <c r="AU119" s="741"/>
      <c r="AV119" s="741"/>
      <c r="AW119" s="741"/>
      <c r="AX119" s="741"/>
      <c r="AY119" s="741"/>
      <c r="AZ119" s="741"/>
      <c r="BA119" s="741"/>
      <c r="BB119" s="741"/>
      <c r="BC119" s="741"/>
      <c r="BD119" s="741"/>
      <c r="BE119" s="741"/>
      <c r="BF119" s="741"/>
      <c r="BG119" s="741"/>
      <c r="BH119" s="741"/>
      <c r="BI119" s="741"/>
      <c r="BJ119" s="741"/>
      <c r="BK119" s="741"/>
      <c r="BL119" s="741"/>
      <c r="BM119" s="741"/>
      <c r="BN119" s="741"/>
      <c r="BO119" s="741"/>
      <c r="BP119" s="741"/>
      <c r="BQ119" s="741"/>
      <c r="BR119" s="741"/>
      <c r="BS119" s="741"/>
      <c r="BT119" s="741"/>
      <c r="BU119" s="741"/>
      <c r="BV119" s="741"/>
      <c r="BW119" s="744"/>
      <c r="BX119" s="744"/>
      <c r="BY119" s="744"/>
      <c r="BZ119" s="744"/>
      <c r="CA119" s="744"/>
      <c r="CB119" s="744"/>
      <c r="CC119" s="744"/>
      <c r="CD119" s="744"/>
      <c r="CE119" s="744"/>
      <c r="CF119" s="744"/>
      <c r="CG119" s="744"/>
      <c r="CH119" s="744"/>
      <c r="CI119" s="744"/>
      <c r="CJ119" s="744"/>
      <c r="CK119" s="744"/>
      <c r="CL119" s="744"/>
      <c r="CM119" s="744"/>
      <c r="CN119" s="744"/>
      <c r="CO119" s="744"/>
      <c r="CP119" s="744"/>
      <c r="CQ119" s="744"/>
      <c r="CR119" s="744"/>
      <c r="CS119" s="744"/>
      <c r="CT119" s="744"/>
      <c r="CU119" s="744"/>
      <c r="CV119" s="744"/>
      <c r="CW119" s="744"/>
      <c r="CX119" s="744"/>
      <c r="CY119" s="744"/>
      <c r="CZ119" s="744"/>
      <c r="DA119" s="744"/>
      <c r="DB119" s="744"/>
      <c r="DC119" s="744"/>
      <c r="DD119" s="744"/>
      <c r="DE119" s="744"/>
      <c r="DF119" s="744"/>
      <c r="DG119" s="744"/>
      <c r="DH119" s="744"/>
      <c r="DI119" s="744"/>
      <c r="DJ119" s="744"/>
      <c r="DK119" s="744"/>
      <c r="DL119" s="744"/>
      <c r="DM119" s="744"/>
      <c r="DN119" s="744"/>
      <c r="DO119" s="744"/>
      <c r="DP119" s="744"/>
      <c r="DQ119" s="744"/>
      <c r="DR119" s="744"/>
      <c r="DS119" s="744"/>
      <c r="DT119" s="744"/>
      <c r="DU119" s="744"/>
      <c r="DV119" s="744"/>
      <c r="DW119" s="744"/>
      <c r="DX119" s="744"/>
      <c r="DY119" s="744"/>
      <c r="DZ119" s="744"/>
      <c r="EA119" s="744"/>
      <c r="EB119" s="744"/>
      <c r="EC119" s="744"/>
      <c r="ED119" s="744"/>
      <c r="EE119" s="744"/>
      <c r="EF119" s="744"/>
      <c r="EG119" s="744"/>
      <c r="EH119" s="744"/>
      <c r="EI119" s="744"/>
      <c r="EJ119" s="744"/>
      <c r="EK119" s="744"/>
      <c r="EL119" s="744"/>
      <c r="EM119" s="744"/>
      <c r="EN119" s="744"/>
      <c r="EO119" s="744"/>
      <c r="EP119" s="744"/>
      <c r="EQ119" s="744"/>
      <c r="ER119" s="744"/>
      <c r="ES119" s="744"/>
      <c r="ET119" s="744"/>
      <c r="EU119" s="744"/>
      <c r="EV119" s="744"/>
      <c r="EW119" s="744"/>
      <c r="EX119" s="744"/>
      <c r="EY119" s="744"/>
      <c r="EZ119" s="744"/>
      <c r="FA119" s="744"/>
      <c r="FB119" s="744"/>
      <c r="FC119" s="744"/>
      <c r="FD119" s="744"/>
      <c r="FE119" s="744"/>
      <c r="FF119" s="744"/>
      <c r="FG119" s="744"/>
      <c r="FH119" s="744"/>
      <c r="FI119" s="744"/>
      <c r="FJ119" s="744"/>
      <c r="FK119" s="744"/>
      <c r="FL119" s="744"/>
      <c r="FM119" s="744"/>
      <c r="FN119" s="744"/>
      <c r="FO119" s="744"/>
      <c r="FP119" s="744"/>
      <c r="FQ119" s="744"/>
      <c r="FR119" s="744"/>
      <c r="FS119" s="744"/>
      <c r="FT119" s="744"/>
      <c r="FU119" s="744"/>
      <c r="FV119" s="744"/>
      <c r="FW119" s="744"/>
      <c r="FX119" s="744"/>
      <c r="FY119" s="744"/>
      <c r="FZ119" s="744"/>
      <c r="GA119" s="744"/>
      <c r="GB119" s="744"/>
      <c r="GC119" s="744"/>
      <c r="GD119" s="744"/>
      <c r="GE119" s="744"/>
      <c r="GF119" s="744"/>
      <c r="GG119" s="744"/>
      <c r="GH119" s="744"/>
      <c r="GI119" s="744"/>
      <c r="GJ119" s="744"/>
      <c r="GK119" s="744"/>
      <c r="GL119" s="744"/>
      <c r="GM119" s="744"/>
      <c r="GN119" s="744"/>
      <c r="GO119" s="744"/>
      <c r="GP119" s="744"/>
      <c r="GQ119" s="744"/>
      <c r="GR119" s="744"/>
      <c r="GS119" s="744"/>
      <c r="GT119" s="744"/>
      <c r="GU119" s="744"/>
      <c r="GV119" s="744"/>
      <c r="GW119" s="744"/>
      <c r="GX119" s="744"/>
      <c r="GY119" s="744"/>
      <c r="GZ119" s="744"/>
      <c r="HA119" s="744"/>
      <c r="HB119" s="744"/>
      <c r="HC119" s="744"/>
      <c r="HD119" s="744"/>
      <c r="HE119" s="744"/>
      <c r="HF119" s="744"/>
      <c r="HG119" s="744"/>
      <c r="HH119" s="744"/>
      <c r="HI119" s="744"/>
      <c r="HJ119" s="744"/>
      <c r="HK119" s="744"/>
      <c r="HL119" s="744"/>
      <c r="HM119" s="744"/>
      <c r="HN119" s="744"/>
      <c r="HO119" s="744"/>
      <c r="HP119" s="744"/>
      <c r="HQ119" s="744"/>
      <c r="HR119" s="744"/>
      <c r="HS119" s="744"/>
      <c r="HT119" s="744"/>
      <c r="HU119" s="744"/>
      <c r="HV119" s="744"/>
      <c r="HW119" s="744"/>
      <c r="HX119" s="744"/>
      <c r="HY119" s="744"/>
      <c r="HZ119" s="744"/>
      <c r="IA119" s="744"/>
      <c r="IB119" s="744"/>
      <c r="IC119" s="744"/>
      <c r="ID119" s="744"/>
      <c r="IE119" s="744"/>
      <c r="IF119" s="744"/>
      <c r="IG119" s="744"/>
      <c r="IH119" s="744"/>
      <c r="II119" s="744"/>
      <c r="IJ119" s="744"/>
      <c r="IK119" s="744"/>
      <c r="IL119" s="744"/>
      <c r="IM119" s="744"/>
      <c r="IN119" s="744"/>
      <c r="IO119" s="744"/>
      <c r="IP119" s="744"/>
      <c r="IQ119" s="744"/>
      <c r="IR119" s="744"/>
      <c r="IS119" s="744"/>
    </row>
    <row r="120" s="73" customFormat="1" ht="15" spans="1:253">
      <c r="A120" s="709" t="s">
        <v>90</v>
      </c>
      <c r="B120" s="682" t="s">
        <v>228</v>
      </c>
      <c r="C120" s="732" t="s">
        <v>143</v>
      </c>
      <c r="D120" s="729" t="s">
        <v>56</v>
      </c>
      <c r="E120" s="733">
        <f>E119</f>
        <v>0.63</v>
      </c>
      <c r="F120" s="711">
        <f>F103</f>
        <v>143.94</v>
      </c>
      <c r="G120" s="711">
        <f t="shared" si="6"/>
        <v>90.68</v>
      </c>
      <c r="H120" s="724"/>
      <c r="I120" s="724"/>
      <c r="J120" s="724"/>
      <c r="K120" s="724"/>
      <c r="L120" s="724"/>
      <c r="M120" s="724"/>
      <c r="N120" s="741"/>
      <c r="O120" s="741"/>
      <c r="P120" s="741"/>
      <c r="Q120" s="741"/>
      <c r="R120" s="741"/>
      <c r="S120" s="741"/>
      <c r="T120" s="741"/>
      <c r="U120" s="741"/>
      <c r="V120" s="741"/>
      <c r="W120" s="741"/>
      <c r="X120" s="741"/>
      <c r="Y120" s="741"/>
      <c r="Z120" s="741"/>
      <c r="AA120" s="741"/>
      <c r="AB120" s="741"/>
      <c r="AC120" s="741"/>
      <c r="AD120" s="741"/>
      <c r="AE120" s="741"/>
      <c r="AF120" s="741"/>
      <c r="AG120" s="741"/>
      <c r="AH120" s="741"/>
      <c r="AI120" s="741"/>
      <c r="AJ120" s="741"/>
      <c r="AK120" s="741"/>
      <c r="AL120" s="741"/>
      <c r="AM120" s="741"/>
      <c r="AN120" s="741"/>
      <c r="AO120" s="741"/>
      <c r="AP120" s="741"/>
      <c r="AQ120" s="741"/>
      <c r="AR120" s="741"/>
      <c r="AS120" s="741"/>
      <c r="AT120" s="741"/>
      <c r="AU120" s="741"/>
      <c r="AV120" s="741"/>
      <c r="AW120" s="741"/>
      <c r="AX120" s="741"/>
      <c r="AY120" s="741"/>
      <c r="AZ120" s="741"/>
      <c r="BA120" s="741"/>
      <c r="BB120" s="741"/>
      <c r="BC120" s="741"/>
      <c r="BD120" s="741"/>
      <c r="BE120" s="741"/>
      <c r="BF120" s="741"/>
      <c r="BG120" s="741"/>
      <c r="BH120" s="741"/>
      <c r="BI120" s="741"/>
      <c r="BJ120" s="741"/>
      <c r="BK120" s="741"/>
      <c r="BL120" s="741"/>
      <c r="BM120" s="741"/>
      <c r="BN120" s="741"/>
      <c r="BO120" s="741"/>
      <c r="BP120" s="741"/>
      <c r="BQ120" s="741"/>
      <c r="BR120" s="741"/>
      <c r="BS120" s="741"/>
      <c r="BT120" s="741"/>
      <c r="BU120" s="741"/>
      <c r="BV120" s="741"/>
      <c r="BW120" s="744"/>
      <c r="BX120" s="744"/>
      <c r="BY120" s="744"/>
      <c r="BZ120" s="744"/>
      <c r="CA120" s="744"/>
      <c r="CB120" s="744"/>
      <c r="CC120" s="744"/>
      <c r="CD120" s="744"/>
      <c r="CE120" s="744"/>
      <c r="CF120" s="744"/>
      <c r="CG120" s="744"/>
      <c r="CH120" s="744"/>
      <c r="CI120" s="744"/>
      <c r="CJ120" s="744"/>
      <c r="CK120" s="744"/>
      <c r="CL120" s="744"/>
      <c r="CM120" s="744"/>
      <c r="CN120" s="744"/>
      <c r="CO120" s="744"/>
      <c r="CP120" s="744"/>
      <c r="CQ120" s="744"/>
      <c r="CR120" s="744"/>
      <c r="CS120" s="744"/>
      <c r="CT120" s="744"/>
      <c r="CU120" s="744"/>
      <c r="CV120" s="744"/>
      <c r="CW120" s="744"/>
      <c r="CX120" s="744"/>
      <c r="CY120" s="744"/>
      <c r="CZ120" s="744"/>
      <c r="DA120" s="744"/>
      <c r="DB120" s="744"/>
      <c r="DC120" s="744"/>
      <c r="DD120" s="744"/>
      <c r="DE120" s="744"/>
      <c r="DF120" s="744"/>
      <c r="DG120" s="744"/>
      <c r="DH120" s="744"/>
      <c r="DI120" s="744"/>
      <c r="DJ120" s="744"/>
      <c r="DK120" s="744"/>
      <c r="DL120" s="744"/>
      <c r="DM120" s="744"/>
      <c r="DN120" s="744"/>
      <c r="DO120" s="744"/>
      <c r="DP120" s="744"/>
      <c r="DQ120" s="744"/>
      <c r="DR120" s="744"/>
      <c r="DS120" s="744"/>
      <c r="DT120" s="744"/>
      <c r="DU120" s="744"/>
      <c r="DV120" s="744"/>
      <c r="DW120" s="744"/>
      <c r="DX120" s="744"/>
      <c r="DY120" s="744"/>
      <c r="DZ120" s="744"/>
      <c r="EA120" s="744"/>
      <c r="EB120" s="744"/>
      <c r="EC120" s="744"/>
      <c r="ED120" s="744"/>
      <c r="EE120" s="744"/>
      <c r="EF120" s="744"/>
      <c r="EG120" s="744"/>
      <c r="EH120" s="744"/>
      <c r="EI120" s="744"/>
      <c r="EJ120" s="744"/>
      <c r="EK120" s="744"/>
      <c r="EL120" s="744"/>
      <c r="EM120" s="744"/>
      <c r="EN120" s="744"/>
      <c r="EO120" s="744"/>
      <c r="EP120" s="744"/>
      <c r="EQ120" s="744"/>
      <c r="ER120" s="744"/>
      <c r="ES120" s="744"/>
      <c r="ET120" s="744"/>
      <c r="EU120" s="744"/>
      <c r="EV120" s="744"/>
      <c r="EW120" s="744"/>
      <c r="EX120" s="744"/>
      <c r="EY120" s="744"/>
      <c r="EZ120" s="744"/>
      <c r="FA120" s="744"/>
      <c r="FB120" s="744"/>
      <c r="FC120" s="744"/>
      <c r="FD120" s="744"/>
      <c r="FE120" s="744"/>
      <c r="FF120" s="744"/>
      <c r="FG120" s="744"/>
      <c r="FH120" s="744"/>
      <c r="FI120" s="744"/>
      <c r="FJ120" s="744"/>
      <c r="FK120" s="744"/>
      <c r="FL120" s="744"/>
      <c r="FM120" s="744"/>
      <c r="FN120" s="744"/>
      <c r="FO120" s="744"/>
      <c r="FP120" s="744"/>
      <c r="FQ120" s="744"/>
      <c r="FR120" s="744"/>
      <c r="FS120" s="744"/>
      <c r="FT120" s="744"/>
      <c r="FU120" s="744"/>
      <c r="FV120" s="744"/>
      <c r="FW120" s="744"/>
      <c r="FX120" s="744"/>
      <c r="FY120" s="744"/>
      <c r="FZ120" s="744"/>
      <c r="GA120" s="744"/>
      <c r="GB120" s="744"/>
      <c r="GC120" s="744"/>
      <c r="GD120" s="744"/>
      <c r="GE120" s="744"/>
      <c r="GF120" s="744"/>
      <c r="GG120" s="744"/>
      <c r="GH120" s="744"/>
      <c r="GI120" s="744"/>
      <c r="GJ120" s="744"/>
      <c r="GK120" s="744"/>
      <c r="GL120" s="744"/>
      <c r="GM120" s="744"/>
      <c r="GN120" s="744"/>
      <c r="GO120" s="744"/>
      <c r="GP120" s="744"/>
      <c r="GQ120" s="744"/>
      <c r="GR120" s="744"/>
      <c r="GS120" s="744"/>
      <c r="GT120" s="744"/>
      <c r="GU120" s="744"/>
      <c r="GV120" s="744"/>
      <c r="GW120" s="744"/>
      <c r="GX120" s="744"/>
      <c r="GY120" s="744"/>
      <c r="GZ120" s="744"/>
      <c r="HA120" s="744"/>
      <c r="HB120" s="744"/>
      <c r="HC120" s="744"/>
      <c r="HD120" s="744"/>
      <c r="HE120" s="744"/>
      <c r="HF120" s="744"/>
      <c r="HG120" s="744"/>
      <c r="HH120" s="744"/>
      <c r="HI120" s="744"/>
      <c r="HJ120" s="744"/>
      <c r="HK120" s="744"/>
      <c r="HL120" s="744"/>
      <c r="HM120" s="744"/>
      <c r="HN120" s="744"/>
      <c r="HO120" s="744"/>
      <c r="HP120" s="744"/>
      <c r="HQ120" s="744"/>
      <c r="HR120" s="744"/>
      <c r="HS120" s="744"/>
      <c r="HT120" s="744"/>
      <c r="HU120" s="744"/>
      <c r="HV120" s="744"/>
      <c r="HW120" s="744"/>
      <c r="HX120" s="744"/>
      <c r="HY120" s="744"/>
      <c r="HZ120" s="744"/>
      <c r="IA120" s="744"/>
      <c r="IB120" s="744"/>
      <c r="IC120" s="744"/>
      <c r="ID120" s="744"/>
      <c r="IE120" s="744"/>
      <c r="IF120" s="744"/>
      <c r="IG120" s="744"/>
      <c r="IH120" s="744"/>
      <c r="II120" s="744"/>
      <c r="IJ120" s="744"/>
      <c r="IK120" s="744"/>
      <c r="IL120" s="744"/>
      <c r="IM120" s="744"/>
      <c r="IN120" s="744"/>
      <c r="IO120" s="744"/>
      <c r="IP120" s="744"/>
      <c r="IQ120" s="744"/>
      <c r="IR120" s="744"/>
      <c r="IS120" s="744"/>
    </row>
    <row r="121" s="73" customFormat="1" ht="15" spans="1:253">
      <c r="A121" s="709" t="s">
        <v>191</v>
      </c>
      <c r="B121" s="682" t="s">
        <v>229</v>
      </c>
      <c r="C121" s="732" t="s">
        <v>193</v>
      </c>
      <c r="D121" s="729" t="s">
        <v>17</v>
      </c>
      <c r="E121" s="733">
        <f>'PB VI - Memorial'!C159</f>
        <v>12</v>
      </c>
      <c r="F121" s="711">
        <v>65.26</v>
      </c>
      <c r="G121" s="711">
        <f t="shared" si="6"/>
        <v>783.12</v>
      </c>
      <c r="H121" s="724"/>
      <c r="I121" s="724"/>
      <c r="J121" s="724"/>
      <c r="K121" s="724"/>
      <c r="L121" s="724"/>
      <c r="M121" s="724"/>
      <c r="N121" s="741"/>
      <c r="O121" s="741"/>
      <c r="P121" s="741"/>
      <c r="Q121" s="741"/>
      <c r="R121" s="741"/>
      <c r="S121" s="741"/>
      <c r="T121" s="741"/>
      <c r="U121" s="741"/>
      <c r="V121" s="741"/>
      <c r="W121" s="741"/>
      <c r="X121" s="741"/>
      <c r="Y121" s="741"/>
      <c r="Z121" s="741"/>
      <c r="AA121" s="741"/>
      <c r="AB121" s="741"/>
      <c r="AC121" s="741"/>
      <c r="AD121" s="741"/>
      <c r="AE121" s="741"/>
      <c r="AF121" s="741"/>
      <c r="AG121" s="741"/>
      <c r="AH121" s="741"/>
      <c r="AI121" s="741"/>
      <c r="AJ121" s="741"/>
      <c r="AK121" s="741"/>
      <c r="AL121" s="741"/>
      <c r="AM121" s="741"/>
      <c r="AN121" s="741"/>
      <c r="AO121" s="741"/>
      <c r="AP121" s="741"/>
      <c r="AQ121" s="741"/>
      <c r="AR121" s="741"/>
      <c r="AS121" s="741"/>
      <c r="AT121" s="741"/>
      <c r="AU121" s="741"/>
      <c r="AV121" s="741"/>
      <c r="AW121" s="741"/>
      <c r="AX121" s="741"/>
      <c r="AY121" s="741"/>
      <c r="AZ121" s="741"/>
      <c r="BA121" s="741"/>
      <c r="BB121" s="741"/>
      <c r="BC121" s="741"/>
      <c r="BD121" s="741"/>
      <c r="BE121" s="741"/>
      <c r="BF121" s="741"/>
      <c r="BG121" s="741"/>
      <c r="BH121" s="741"/>
      <c r="BI121" s="741"/>
      <c r="BJ121" s="741"/>
      <c r="BK121" s="741"/>
      <c r="BL121" s="741"/>
      <c r="BM121" s="741"/>
      <c r="BN121" s="741"/>
      <c r="BO121" s="741"/>
      <c r="BP121" s="741"/>
      <c r="BQ121" s="741"/>
      <c r="BR121" s="741"/>
      <c r="BS121" s="741"/>
      <c r="BT121" s="741"/>
      <c r="BU121" s="741"/>
      <c r="BV121" s="741"/>
      <c r="BW121" s="744"/>
      <c r="BX121" s="744"/>
      <c r="BY121" s="744"/>
      <c r="BZ121" s="744"/>
      <c r="CA121" s="744"/>
      <c r="CB121" s="744"/>
      <c r="CC121" s="744"/>
      <c r="CD121" s="744"/>
      <c r="CE121" s="744"/>
      <c r="CF121" s="744"/>
      <c r="CG121" s="744"/>
      <c r="CH121" s="744"/>
      <c r="CI121" s="744"/>
      <c r="CJ121" s="744"/>
      <c r="CK121" s="744"/>
      <c r="CL121" s="744"/>
      <c r="CM121" s="744"/>
      <c r="CN121" s="744"/>
      <c r="CO121" s="744"/>
      <c r="CP121" s="744"/>
      <c r="CQ121" s="744"/>
      <c r="CR121" s="744"/>
      <c r="CS121" s="744"/>
      <c r="CT121" s="744"/>
      <c r="CU121" s="744"/>
      <c r="CV121" s="744"/>
      <c r="CW121" s="744"/>
      <c r="CX121" s="744"/>
      <c r="CY121" s="744"/>
      <c r="CZ121" s="744"/>
      <c r="DA121" s="744"/>
      <c r="DB121" s="744"/>
      <c r="DC121" s="744"/>
      <c r="DD121" s="744"/>
      <c r="DE121" s="744"/>
      <c r="DF121" s="744"/>
      <c r="DG121" s="744"/>
      <c r="DH121" s="744"/>
      <c r="DI121" s="744"/>
      <c r="DJ121" s="744"/>
      <c r="DK121" s="744"/>
      <c r="DL121" s="744"/>
      <c r="DM121" s="744"/>
      <c r="DN121" s="744"/>
      <c r="DO121" s="744"/>
      <c r="DP121" s="744"/>
      <c r="DQ121" s="744"/>
      <c r="DR121" s="744"/>
      <c r="DS121" s="744"/>
      <c r="DT121" s="744"/>
      <c r="DU121" s="744"/>
      <c r="DV121" s="744"/>
      <c r="DW121" s="744"/>
      <c r="DX121" s="744"/>
      <c r="DY121" s="744"/>
      <c r="DZ121" s="744"/>
      <c r="EA121" s="744"/>
      <c r="EB121" s="744"/>
      <c r="EC121" s="744"/>
      <c r="ED121" s="744"/>
      <c r="EE121" s="744"/>
      <c r="EF121" s="744"/>
      <c r="EG121" s="744"/>
      <c r="EH121" s="744"/>
      <c r="EI121" s="744"/>
      <c r="EJ121" s="744"/>
      <c r="EK121" s="744"/>
      <c r="EL121" s="744"/>
      <c r="EM121" s="744"/>
      <c r="EN121" s="744"/>
      <c r="EO121" s="744"/>
      <c r="EP121" s="744"/>
      <c r="EQ121" s="744"/>
      <c r="ER121" s="744"/>
      <c r="ES121" s="744"/>
      <c r="ET121" s="744"/>
      <c r="EU121" s="744"/>
      <c r="EV121" s="744"/>
      <c r="EW121" s="744"/>
      <c r="EX121" s="744"/>
      <c r="EY121" s="744"/>
      <c r="EZ121" s="744"/>
      <c r="FA121" s="744"/>
      <c r="FB121" s="744"/>
      <c r="FC121" s="744"/>
      <c r="FD121" s="744"/>
      <c r="FE121" s="744"/>
      <c r="FF121" s="744"/>
      <c r="FG121" s="744"/>
      <c r="FH121" s="744"/>
      <c r="FI121" s="744"/>
      <c r="FJ121" s="744"/>
      <c r="FK121" s="744"/>
      <c r="FL121" s="744"/>
      <c r="FM121" s="744"/>
      <c r="FN121" s="744"/>
      <c r="FO121" s="744"/>
      <c r="FP121" s="744"/>
      <c r="FQ121" s="744"/>
      <c r="FR121" s="744"/>
      <c r="FS121" s="744"/>
      <c r="FT121" s="744"/>
      <c r="FU121" s="744"/>
      <c r="FV121" s="744"/>
      <c r="FW121" s="744"/>
      <c r="FX121" s="744"/>
      <c r="FY121" s="744"/>
      <c r="FZ121" s="744"/>
      <c r="GA121" s="744"/>
      <c r="GB121" s="744"/>
      <c r="GC121" s="744"/>
      <c r="GD121" s="744"/>
      <c r="GE121" s="744"/>
      <c r="GF121" s="744"/>
      <c r="GG121" s="744"/>
      <c r="GH121" s="744"/>
      <c r="GI121" s="744"/>
      <c r="GJ121" s="744"/>
      <c r="GK121" s="744"/>
      <c r="GL121" s="744"/>
      <c r="GM121" s="744"/>
      <c r="GN121" s="744"/>
      <c r="GO121" s="744"/>
      <c r="GP121" s="744"/>
      <c r="GQ121" s="744"/>
      <c r="GR121" s="744"/>
      <c r="GS121" s="744"/>
      <c r="GT121" s="744"/>
      <c r="GU121" s="744"/>
      <c r="GV121" s="744"/>
      <c r="GW121" s="744"/>
      <c r="GX121" s="744"/>
      <c r="GY121" s="744"/>
      <c r="GZ121" s="744"/>
      <c r="HA121" s="744"/>
      <c r="HB121" s="744"/>
      <c r="HC121" s="744"/>
      <c r="HD121" s="744"/>
      <c r="HE121" s="744"/>
      <c r="HF121" s="744"/>
      <c r="HG121" s="744"/>
      <c r="HH121" s="744"/>
      <c r="HI121" s="744"/>
      <c r="HJ121" s="744"/>
      <c r="HK121" s="744"/>
      <c r="HL121" s="744"/>
      <c r="HM121" s="744"/>
      <c r="HN121" s="744"/>
      <c r="HO121" s="744"/>
      <c r="HP121" s="744"/>
      <c r="HQ121" s="744"/>
      <c r="HR121" s="744"/>
      <c r="HS121" s="744"/>
      <c r="HT121" s="744"/>
      <c r="HU121" s="744"/>
      <c r="HV121" s="744"/>
      <c r="HW121" s="744"/>
      <c r="HX121" s="744"/>
      <c r="HY121" s="744"/>
      <c r="HZ121" s="744"/>
      <c r="IA121" s="744"/>
      <c r="IB121" s="744"/>
      <c r="IC121" s="744"/>
      <c r="ID121" s="744"/>
      <c r="IE121" s="744"/>
      <c r="IF121" s="744"/>
      <c r="IG121" s="744"/>
      <c r="IH121" s="744"/>
      <c r="II121" s="744"/>
      <c r="IJ121" s="744"/>
      <c r="IK121" s="744"/>
      <c r="IL121" s="744"/>
      <c r="IM121" s="744"/>
      <c r="IN121" s="744"/>
      <c r="IO121" s="744"/>
      <c r="IP121" s="744"/>
      <c r="IQ121" s="744"/>
      <c r="IR121" s="744"/>
      <c r="IS121" s="744"/>
    </row>
    <row r="122" s="73" customFormat="1" ht="15" spans="1:253">
      <c r="A122" s="709" t="s">
        <v>177</v>
      </c>
      <c r="B122" s="682" t="s">
        <v>230</v>
      </c>
      <c r="C122" s="732" t="s">
        <v>231</v>
      </c>
      <c r="D122" s="729" t="s">
        <v>95</v>
      </c>
      <c r="E122" s="733">
        <f>'PB VI - Memorial'!D161</f>
        <v>33</v>
      </c>
      <c r="F122" s="711">
        <v>8.97</v>
      </c>
      <c r="G122" s="711">
        <f t="shared" si="6"/>
        <v>296.01</v>
      </c>
      <c r="H122" s="724"/>
      <c r="I122" s="724"/>
      <c r="J122" s="724"/>
      <c r="K122" s="724"/>
      <c r="L122" s="724"/>
      <c r="M122" s="724"/>
      <c r="N122" s="741"/>
      <c r="O122" s="741"/>
      <c r="P122" s="741"/>
      <c r="Q122" s="741"/>
      <c r="R122" s="741"/>
      <c r="S122" s="741"/>
      <c r="T122" s="741"/>
      <c r="U122" s="741"/>
      <c r="V122" s="741"/>
      <c r="W122" s="741"/>
      <c r="X122" s="741"/>
      <c r="Y122" s="741"/>
      <c r="Z122" s="741"/>
      <c r="AA122" s="741"/>
      <c r="AB122" s="741"/>
      <c r="AC122" s="741"/>
      <c r="AD122" s="741"/>
      <c r="AE122" s="741"/>
      <c r="AF122" s="741"/>
      <c r="AG122" s="741"/>
      <c r="AH122" s="741"/>
      <c r="AI122" s="741"/>
      <c r="AJ122" s="741"/>
      <c r="AK122" s="741"/>
      <c r="AL122" s="741"/>
      <c r="AM122" s="741"/>
      <c r="AN122" s="741"/>
      <c r="AO122" s="741"/>
      <c r="AP122" s="741"/>
      <c r="AQ122" s="741"/>
      <c r="AR122" s="741"/>
      <c r="AS122" s="741"/>
      <c r="AT122" s="741"/>
      <c r="AU122" s="741"/>
      <c r="AV122" s="741"/>
      <c r="AW122" s="741"/>
      <c r="AX122" s="741"/>
      <c r="AY122" s="741"/>
      <c r="AZ122" s="741"/>
      <c r="BA122" s="741"/>
      <c r="BB122" s="741"/>
      <c r="BC122" s="741"/>
      <c r="BD122" s="741"/>
      <c r="BE122" s="741"/>
      <c r="BF122" s="741"/>
      <c r="BG122" s="741"/>
      <c r="BH122" s="741"/>
      <c r="BI122" s="741"/>
      <c r="BJ122" s="741"/>
      <c r="BK122" s="741"/>
      <c r="BL122" s="741"/>
      <c r="BM122" s="741"/>
      <c r="BN122" s="741"/>
      <c r="BO122" s="741"/>
      <c r="BP122" s="741"/>
      <c r="BQ122" s="741"/>
      <c r="BR122" s="741"/>
      <c r="BS122" s="741"/>
      <c r="BT122" s="741"/>
      <c r="BU122" s="741"/>
      <c r="BV122" s="741"/>
      <c r="BW122" s="744"/>
      <c r="BX122" s="744"/>
      <c r="BY122" s="744"/>
      <c r="BZ122" s="744"/>
      <c r="CA122" s="744"/>
      <c r="CB122" s="744"/>
      <c r="CC122" s="744"/>
      <c r="CD122" s="744"/>
      <c r="CE122" s="744"/>
      <c r="CF122" s="744"/>
      <c r="CG122" s="744"/>
      <c r="CH122" s="744"/>
      <c r="CI122" s="744"/>
      <c r="CJ122" s="744"/>
      <c r="CK122" s="744"/>
      <c r="CL122" s="744"/>
      <c r="CM122" s="744"/>
      <c r="CN122" s="744"/>
      <c r="CO122" s="744"/>
      <c r="CP122" s="744"/>
      <c r="CQ122" s="744"/>
      <c r="CR122" s="744"/>
      <c r="CS122" s="744"/>
      <c r="CT122" s="744"/>
      <c r="CU122" s="744"/>
      <c r="CV122" s="744"/>
      <c r="CW122" s="744"/>
      <c r="CX122" s="744"/>
      <c r="CY122" s="744"/>
      <c r="CZ122" s="744"/>
      <c r="DA122" s="744"/>
      <c r="DB122" s="744"/>
      <c r="DC122" s="744"/>
      <c r="DD122" s="744"/>
      <c r="DE122" s="744"/>
      <c r="DF122" s="744"/>
      <c r="DG122" s="744"/>
      <c r="DH122" s="744"/>
      <c r="DI122" s="744"/>
      <c r="DJ122" s="744"/>
      <c r="DK122" s="744"/>
      <c r="DL122" s="744"/>
      <c r="DM122" s="744"/>
      <c r="DN122" s="744"/>
      <c r="DO122" s="744"/>
      <c r="DP122" s="744"/>
      <c r="DQ122" s="744"/>
      <c r="DR122" s="744"/>
      <c r="DS122" s="744"/>
      <c r="DT122" s="744"/>
      <c r="DU122" s="744"/>
      <c r="DV122" s="744"/>
      <c r="DW122" s="744"/>
      <c r="DX122" s="744"/>
      <c r="DY122" s="744"/>
      <c r="DZ122" s="744"/>
      <c r="EA122" s="744"/>
      <c r="EB122" s="744"/>
      <c r="EC122" s="744"/>
      <c r="ED122" s="744"/>
      <c r="EE122" s="744"/>
      <c r="EF122" s="744"/>
      <c r="EG122" s="744"/>
      <c r="EH122" s="744"/>
      <c r="EI122" s="744"/>
      <c r="EJ122" s="744"/>
      <c r="EK122" s="744"/>
      <c r="EL122" s="744"/>
      <c r="EM122" s="744"/>
      <c r="EN122" s="744"/>
      <c r="EO122" s="744"/>
      <c r="EP122" s="744"/>
      <c r="EQ122" s="744"/>
      <c r="ER122" s="744"/>
      <c r="ES122" s="744"/>
      <c r="ET122" s="744"/>
      <c r="EU122" s="744"/>
      <c r="EV122" s="744"/>
      <c r="EW122" s="744"/>
      <c r="EX122" s="744"/>
      <c r="EY122" s="744"/>
      <c r="EZ122" s="744"/>
      <c r="FA122" s="744"/>
      <c r="FB122" s="744"/>
      <c r="FC122" s="744"/>
      <c r="FD122" s="744"/>
      <c r="FE122" s="744"/>
      <c r="FF122" s="744"/>
      <c r="FG122" s="744"/>
      <c r="FH122" s="744"/>
      <c r="FI122" s="744"/>
      <c r="FJ122" s="744"/>
      <c r="FK122" s="744"/>
      <c r="FL122" s="744"/>
      <c r="FM122" s="744"/>
      <c r="FN122" s="744"/>
      <c r="FO122" s="744"/>
      <c r="FP122" s="744"/>
      <c r="FQ122" s="744"/>
      <c r="FR122" s="744"/>
      <c r="FS122" s="744"/>
      <c r="FT122" s="744"/>
      <c r="FU122" s="744"/>
      <c r="FV122" s="744"/>
      <c r="FW122" s="744"/>
      <c r="FX122" s="744"/>
      <c r="FY122" s="744"/>
      <c r="FZ122" s="744"/>
      <c r="GA122" s="744"/>
      <c r="GB122" s="744"/>
      <c r="GC122" s="744"/>
      <c r="GD122" s="744"/>
      <c r="GE122" s="744"/>
      <c r="GF122" s="744"/>
      <c r="GG122" s="744"/>
      <c r="GH122" s="744"/>
      <c r="GI122" s="744"/>
      <c r="GJ122" s="744"/>
      <c r="GK122" s="744"/>
      <c r="GL122" s="744"/>
      <c r="GM122" s="744"/>
      <c r="GN122" s="744"/>
      <c r="GO122" s="744"/>
      <c r="GP122" s="744"/>
      <c r="GQ122" s="744"/>
      <c r="GR122" s="744"/>
      <c r="GS122" s="744"/>
      <c r="GT122" s="744"/>
      <c r="GU122" s="744"/>
      <c r="GV122" s="744"/>
      <c r="GW122" s="744"/>
      <c r="GX122" s="744"/>
      <c r="GY122" s="744"/>
      <c r="GZ122" s="744"/>
      <c r="HA122" s="744"/>
      <c r="HB122" s="744"/>
      <c r="HC122" s="744"/>
      <c r="HD122" s="744"/>
      <c r="HE122" s="744"/>
      <c r="HF122" s="744"/>
      <c r="HG122" s="744"/>
      <c r="HH122" s="744"/>
      <c r="HI122" s="744"/>
      <c r="HJ122" s="744"/>
      <c r="HK122" s="744"/>
      <c r="HL122" s="744"/>
      <c r="HM122" s="744"/>
      <c r="HN122" s="744"/>
      <c r="HO122" s="744"/>
      <c r="HP122" s="744"/>
      <c r="HQ122" s="744"/>
      <c r="HR122" s="744"/>
      <c r="HS122" s="744"/>
      <c r="HT122" s="744"/>
      <c r="HU122" s="744"/>
      <c r="HV122" s="744"/>
      <c r="HW122" s="744"/>
      <c r="HX122" s="744"/>
      <c r="HY122" s="744"/>
      <c r="HZ122" s="744"/>
      <c r="IA122" s="744"/>
      <c r="IB122" s="744"/>
      <c r="IC122" s="744"/>
      <c r="ID122" s="744"/>
      <c r="IE122" s="744"/>
      <c r="IF122" s="744"/>
      <c r="IG122" s="744"/>
      <c r="IH122" s="744"/>
      <c r="II122" s="744"/>
      <c r="IJ122" s="744"/>
      <c r="IK122" s="744"/>
      <c r="IL122" s="744"/>
      <c r="IM122" s="744"/>
      <c r="IN122" s="744"/>
      <c r="IO122" s="744"/>
      <c r="IP122" s="744"/>
      <c r="IQ122" s="744"/>
      <c r="IR122" s="744"/>
      <c r="IS122" s="744"/>
    </row>
    <row r="123" s="73" customFormat="1" ht="15" spans="1:253">
      <c r="A123" s="709" t="s">
        <v>180</v>
      </c>
      <c r="B123" s="682" t="s">
        <v>232</v>
      </c>
      <c r="C123" s="732" t="s">
        <v>182</v>
      </c>
      <c r="D123" s="729" t="s">
        <v>95</v>
      </c>
      <c r="E123" s="733">
        <f>'PB VI - Memorial'!G161</f>
        <v>14.45</v>
      </c>
      <c r="F123" s="711">
        <v>13.31</v>
      </c>
      <c r="G123" s="711">
        <f t="shared" si="6"/>
        <v>192.33</v>
      </c>
      <c r="H123" s="724"/>
      <c r="I123" s="724"/>
      <c r="J123" s="724"/>
      <c r="K123" s="724"/>
      <c r="L123" s="724"/>
      <c r="M123" s="724"/>
      <c r="N123" s="741"/>
      <c r="O123" s="741"/>
      <c r="P123" s="741"/>
      <c r="Q123" s="741"/>
      <c r="R123" s="741"/>
      <c r="S123" s="741"/>
      <c r="T123" s="741"/>
      <c r="U123" s="741"/>
      <c r="V123" s="741"/>
      <c r="W123" s="741"/>
      <c r="X123" s="741"/>
      <c r="Y123" s="741"/>
      <c r="Z123" s="741"/>
      <c r="AA123" s="741"/>
      <c r="AB123" s="741"/>
      <c r="AC123" s="741"/>
      <c r="AD123" s="741"/>
      <c r="AE123" s="741"/>
      <c r="AF123" s="741"/>
      <c r="AG123" s="741"/>
      <c r="AH123" s="741"/>
      <c r="AI123" s="741"/>
      <c r="AJ123" s="741"/>
      <c r="AK123" s="741"/>
      <c r="AL123" s="741"/>
      <c r="AM123" s="741"/>
      <c r="AN123" s="741"/>
      <c r="AO123" s="741"/>
      <c r="AP123" s="741"/>
      <c r="AQ123" s="741"/>
      <c r="AR123" s="741"/>
      <c r="AS123" s="741"/>
      <c r="AT123" s="741"/>
      <c r="AU123" s="741"/>
      <c r="AV123" s="741"/>
      <c r="AW123" s="741"/>
      <c r="AX123" s="741"/>
      <c r="AY123" s="741"/>
      <c r="AZ123" s="741"/>
      <c r="BA123" s="741"/>
      <c r="BB123" s="741"/>
      <c r="BC123" s="741"/>
      <c r="BD123" s="741"/>
      <c r="BE123" s="741"/>
      <c r="BF123" s="741"/>
      <c r="BG123" s="741"/>
      <c r="BH123" s="741"/>
      <c r="BI123" s="741"/>
      <c r="BJ123" s="741"/>
      <c r="BK123" s="741"/>
      <c r="BL123" s="741"/>
      <c r="BM123" s="741"/>
      <c r="BN123" s="741"/>
      <c r="BO123" s="741"/>
      <c r="BP123" s="741"/>
      <c r="BQ123" s="741"/>
      <c r="BR123" s="741"/>
      <c r="BS123" s="741"/>
      <c r="BT123" s="741"/>
      <c r="BU123" s="741"/>
      <c r="BV123" s="741"/>
      <c r="BW123" s="744"/>
      <c r="BX123" s="744"/>
      <c r="BY123" s="744"/>
      <c r="BZ123" s="744"/>
      <c r="CA123" s="744"/>
      <c r="CB123" s="744"/>
      <c r="CC123" s="744"/>
      <c r="CD123" s="744"/>
      <c r="CE123" s="744"/>
      <c r="CF123" s="744"/>
      <c r="CG123" s="744"/>
      <c r="CH123" s="744"/>
      <c r="CI123" s="744"/>
      <c r="CJ123" s="744"/>
      <c r="CK123" s="744"/>
      <c r="CL123" s="744"/>
      <c r="CM123" s="744"/>
      <c r="CN123" s="744"/>
      <c r="CO123" s="744"/>
      <c r="CP123" s="744"/>
      <c r="CQ123" s="744"/>
      <c r="CR123" s="744"/>
      <c r="CS123" s="744"/>
      <c r="CT123" s="744"/>
      <c r="CU123" s="744"/>
      <c r="CV123" s="744"/>
      <c r="CW123" s="744"/>
      <c r="CX123" s="744"/>
      <c r="CY123" s="744"/>
      <c r="CZ123" s="744"/>
      <c r="DA123" s="744"/>
      <c r="DB123" s="744"/>
      <c r="DC123" s="744"/>
      <c r="DD123" s="744"/>
      <c r="DE123" s="744"/>
      <c r="DF123" s="744"/>
      <c r="DG123" s="744"/>
      <c r="DH123" s="744"/>
      <c r="DI123" s="744"/>
      <c r="DJ123" s="744"/>
      <c r="DK123" s="744"/>
      <c r="DL123" s="744"/>
      <c r="DM123" s="744"/>
      <c r="DN123" s="744"/>
      <c r="DO123" s="744"/>
      <c r="DP123" s="744"/>
      <c r="DQ123" s="744"/>
      <c r="DR123" s="744"/>
      <c r="DS123" s="744"/>
      <c r="DT123" s="744"/>
      <c r="DU123" s="744"/>
      <c r="DV123" s="744"/>
      <c r="DW123" s="744"/>
      <c r="DX123" s="744"/>
      <c r="DY123" s="744"/>
      <c r="DZ123" s="744"/>
      <c r="EA123" s="744"/>
      <c r="EB123" s="744"/>
      <c r="EC123" s="744"/>
      <c r="ED123" s="744"/>
      <c r="EE123" s="744"/>
      <c r="EF123" s="744"/>
      <c r="EG123" s="744"/>
      <c r="EH123" s="744"/>
      <c r="EI123" s="744"/>
      <c r="EJ123" s="744"/>
      <c r="EK123" s="744"/>
      <c r="EL123" s="744"/>
      <c r="EM123" s="744"/>
      <c r="EN123" s="744"/>
      <c r="EO123" s="744"/>
      <c r="EP123" s="744"/>
      <c r="EQ123" s="744"/>
      <c r="ER123" s="744"/>
      <c r="ES123" s="744"/>
      <c r="ET123" s="744"/>
      <c r="EU123" s="744"/>
      <c r="EV123" s="744"/>
      <c r="EW123" s="744"/>
      <c r="EX123" s="744"/>
      <c r="EY123" s="744"/>
      <c r="EZ123" s="744"/>
      <c r="FA123" s="744"/>
      <c r="FB123" s="744"/>
      <c r="FC123" s="744"/>
      <c r="FD123" s="744"/>
      <c r="FE123" s="744"/>
      <c r="FF123" s="744"/>
      <c r="FG123" s="744"/>
      <c r="FH123" s="744"/>
      <c r="FI123" s="744"/>
      <c r="FJ123" s="744"/>
      <c r="FK123" s="744"/>
      <c r="FL123" s="744"/>
      <c r="FM123" s="744"/>
      <c r="FN123" s="744"/>
      <c r="FO123" s="744"/>
      <c r="FP123" s="744"/>
      <c r="FQ123" s="744"/>
      <c r="FR123" s="744"/>
      <c r="FS123" s="744"/>
      <c r="FT123" s="744"/>
      <c r="FU123" s="744"/>
      <c r="FV123" s="744"/>
      <c r="FW123" s="744"/>
      <c r="FX123" s="744"/>
      <c r="FY123" s="744"/>
      <c r="FZ123" s="744"/>
      <c r="GA123" s="744"/>
      <c r="GB123" s="744"/>
      <c r="GC123" s="744"/>
      <c r="GD123" s="744"/>
      <c r="GE123" s="744"/>
      <c r="GF123" s="744"/>
      <c r="GG123" s="744"/>
      <c r="GH123" s="744"/>
      <c r="GI123" s="744"/>
      <c r="GJ123" s="744"/>
      <c r="GK123" s="744"/>
      <c r="GL123" s="744"/>
      <c r="GM123" s="744"/>
      <c r="GN123" s="744"/>
      <c r="GO123" s="744"/>
      <c r="GP123" s="744"/>
      <c r="GQ123" s="744"/>
      <c r="GR123" s="744"/>
      <c r="GS123" s="744"/>
      <c r="GT123" s="744"/>
      <c r="GU123" s="744"/>
      <c r="GV123" s="744"/>
      <c r="GW123" s="744"/>
      <c r="GX123" s="744"/>
      <c r="GY123" s="744"/>
      <c r="GZ123" s="744"/>
      <c r="HA123" s="744"/>
      <c r="HB123" s="744"/>
      <c r="HC123" s="744"/>
      <c r="HD123" s="744"/>
      <c r="HE123" s="744"/>
      <c r="HF123" s="744"/>
      <c r="HG123" s="744"/>
      <c r="HH123" s="744"/>
      <c r="HI123" s="744"/>
      <c r="HJ123" s="744"/>
      <c r="HK123" s="744"/>
      <c r="HL123" s="744"/>
      <c r="HM123" s="744"/>
      <c r="HN123" s="744"/>
      <c r="HO123" s="744"/>
      <c r="HP123" s="744"/>
      <c r="HQ123" s="744"/>
      <c r="HR123" s="744"/>
      <c r="HS123" s="744"/>
      <c r="HT123" s="744"/>
      <c r="HU123" s="744"/>
      <c r="HV123" s="744"/>
      <c r="HW123" s="744"/>
      <c r="HX123" s="744"/>
      <c r="HY123" s="744"/>
      <c r="HZ123" s="744"/>
      <c r="IA123" s="744"/>
      <c r="IB123" s="744"/>
      <c r="IC123" s="744"/>
      <c r="ID123" s="744"/>
      <c r="IE123" s="744"/>
      <c r="IF123" s="744"/>
      <c r="IG123" s="744"/>
      <c r="IH123" s="744"/>
      <c r="II123" s="744"/>
      <c r="IJ123" s="744"/>
      <c r="IK123" s="744"/>
      <c r="IL123" s="744"/>
      <c r="IM123" s="744"/>
      <c r="IN123" s="744"/>
      <c r="IO123" s="744"/>
      <c r="IP123" s="744"/>
      <c r="IQ123" s="744"/>
      <c r="IR123" s="744"/>
      <c r="IS123" s="744"/>
    </row>
    <row r="124" s="73" customFormat="1" ht="15" spans="1:253">
      <c r="A124" s="734"/>
      <c r="B124" s="735" t="s">
        <v>233</v>
      </c>
      <c r="C124" s="736" t="s">
        <v>234</v>
      </c>
      <c r="D124" s="729"/>
      <c r="E124" s="733"/>
      <c r="F124" s="711"/>
      <c r="G124" s="711"/>
      <c r="H124" s="724"/>
      <c r="I124" s="724"/>
      <c r="J124" s="724"/>
      <c r="K124" s="724"/>
      <c r="L124" s="724"/>
      <c r="M124" s="724"/>
      <c r="N124" s="741"/>
      <c r="O124" s="741"/>
      <c r="P124" s="741"/>
      <c r="Q124" s="741"/>
      <c r="R124" s="741"/>
      <c r="S124" s="741"/>
      <c r="T124" s="741"/>
      <c r="U124" s="741"/>
      <c r="V124" s="741"/>
      <c r="W124" s="741"/>
      <c r="X124" s="741"/>
      <c r="Y124" s="741"/>
      <c r="Z124" s="741"/>
      <c r="AA124" s="741"/>
      <c r="AB124" s="741"/>
      <c r="AC124" s="741"/>
      <c r="AD124" s="741"/>
      <c r="AE124" s="741"/>
      <c r="AF124" s="741"/>
      <c r="AG124" s="741"/>
      <c r="AH124" s="741"/>
      <c r="AI124" s="741"/>
      <c r="AJ124" s="741"/>
      <c r="AK124" s="741"/>
      <c r="AL124" s="741"/>
      <c r="AM124" s="741"/>
      <c r="AN124" s="741"/>
      <c r="AO124" s="741"/>
      <c r="AP124" s="741"/>
      <c r="AQ124" s="741"/>
      <c r="AR124" s="741"/>
      <c r="AS124" s="741"/>
      <c r="AT124" s="741"/>
      <c r="AU124" s="741"/>
      <c r="AV124" s="741"/>
      <c r="AW124" s="741"/>
      <c r="AX124" s="741"/>
      <c r="AY124" s="741"/>
      <c r="AZ124" s="741"/>
      <c r="BA124" s="741"/>
      <c r="BB124" s="741"/>
      <c r="BC124" s="741"/>
      <c r="BD124" s="741"/>
      <c r="BE124" s="741"/>
      <c r="BF124" s="741"/>
      <c r="BG124" s="741"/>
      <c r="BH124" s="741"/>
      <c r="BI124" s="741"/>
      <c r="BJ124" s="741"/>
      <c r="BK124" s="741"/>
      <c r="BL124" s="741"/>
      <c r="BM124" s="741"/>
      <c r="BN124" s="741"/>
      <c r="BO124" s="741"/>
      <c r="BP124" s="741"/>
      <c r="BQ124" s="741"/>
      <c r="BR124" s="741"/>
      <c r="BS124" s="741"/>
      <c r="BT124" s="741"/>
      <c r="BU124" s="741"/>
      <c r="BV124" s="741"/>
      <c r="BW124" s="744"/>
      <c r="BX124" s="744"/>
      <c r="BY124" s="744"/>
      <c r="BZ124" s="744"/>
      <c r="CA124" s="744"/>
      <c r="CB124" s="744"/>
      <c r="CC124" s="744"/>
      <c r="CD124" s="744"/>
      <c r="CE124" s="744"/>
      <c r="CF124" s="744"/>
      <c r="CG124" s="744"/>
      <c r="CH124" s="744"/>
      <c r="CI124" s="744"/>
      <c r="CJ124" s="744"/>
      <c r="CK124" s="744"/>
      <c r="CL124" s="744"/>
      <c r="CM124" s="744"/>
      <c r="CN124" s="744"/>
      <c r="CO124" s="744"/>
      <c r="CP124" s="744"/>
      <c r="CQ124" s="744"/>
      <c r="CR124" s="744"/>
      <c r="CS124" s="744"/>
      <c r="CT124" s="744"/>
      <c r="CU124" s="744"/>
      <c r="CV124" s="744"/>
      <c r="CW124" s="744"/>
      <c r="CX124" s="744"/>
      <c r="CY124" s="744"/>
      <c r="CZ124" s="744"/>
      <c r="DA124" s="744"/>
      <c r="DB124" s="744"/>
      <c r="DC124" s="744"/>
      <c r="DD124" s="744"/>
      <c r="DE124" s="744"/>
      <c r="DF124" s="744"/>
      <c r="DG124" s="744"/>
      <c r="DH124" s="744"/>
      <c r="DI124" s="744"/>
      <c r="DJ124" s="744"/>
      <c r="DK124" s="744"/>
      <c r="DL124" s="744"/>
      <c r="DM124" s="744"/>
      <c r="DN124" s="744"/>
      <c r="DO124" s="744"/>
      <c r="DP124" s="744"/>
      <c r="DQ124" s="744"/>
      <c r="DR124" s="744"/>
      <c r="DS124" s="744"/>
      <c r="DT124" s="744"/>
      <c r="DU124" s="744"/>
      <c r="DV124" s="744"/>
      <c r="DW124" s="744"/>
      <c r="DX124" s="744"/>
      <c r="DY124" s="744"/>
      <c r="DZ124" s="744"/>
      <c r="EA124" s="744"/>
      <c r="EB124" s="744"/>
      <c r="EC124" s="744"/>
      <c r="ED124" s="744"/>
      <c r="EE124" s="744"/>
      <c r="EF124" s="744"/>
      <c r="EG124" s="744"/>
      <c r="EH124" s="744"/>
      <c r="EI124" s="744"/>
      <c r="EJ124" s="744"/>
      <c r="EK124" s="744"/>
      <c r="EL124" s="744"/>
      <c r="EM124" s="744"/>
      <c r="EN124" s="744"/>
      <c r="EO124" s="744"/>
      <c r="EP124" s="744"/>
      <c r="EQ124" s="744"/>
      <c r="ER124" s="744"/>
      <c r="ES124" s="744"/>
      <c r="ET124" s="744"/>
      <c r="EU124" s="744"/>
      <c r="EV124" s="744"/>
      <c r="EW124" s="744"/>
      <c r="EX124" s="744"/>
      <c r="EY124" s="744"/>
      <c r="EZ124" s="744"/>
      <c r="FA124" s="744"/>
      <c r="FB124" s="744"/>
      <c r="FC124" s="744"/>
      <c r="FD124" s="744"/>
      <c r="FE124" s="744"/>
      <c r="FF124" s="744"/>
      <c r="FG124" s="744"/>
      <c r="FH124" s="744"/>
      <c r="FI124" s="744"/>
      <c r="FJ124" s="744"/>
      <c r="FK124" s="744"/>
      <c r="FL124" s="744"/>
      <c r="FM124" s="744"/>
      <c r="FN124" s="744"/>
      <c r="FO124" s="744"/>
      <c r="FP124" s="744"/>
      <c r="FQ124" s="744"/>
      <c r="FR124" s="744"/>
      <c r="FS124" s="744"/>
      <c r="FT124" s="744"/>
      <c r="FU124" s="744"/>
      <c r="FV124" s="744"/>
      <c r="FW124" s="744"/>
      <c r="FX124" s="744"/>
      <c r="FY124" s="744"/>
      <c r="FZ124" s="744"/>
      <c r="GA124" s="744"/>
      <c r="GB124" s="744"/>
      <c r="GC124" s="744"/>
      <c r="GD124" s="744"/>
      <c r="GE124" s="744"/>
      <c r="GF124" s="744"/>
      <c r="GG124" s="744"/>
      <c r="GH124" s="744"/>
      <c r="GI124" s="744"/>
      <c r="GJ124" s="744"/>
      <c r="GK124" s="744"/>
      <c r="GL124" s="744"/>
      <c r="GM124" s="744"/>
      <c r="GN124" s="744"/>
      <c r="GO124" s="744"/>
      <c r="GP124" s="744"/>
      <c r="GQ124" s="744"/>
      <c r="GR124" s="744"/>
      <c r="GS124" s="744"/>
      <c r="GT124" s="744"/>
      <c r="GU124" s="744"/>
      <c r="GV124" s="744"/>
      <c r="GW124" s="744"/>
      <c r="GX124" s="744"/>
      <c r="GY124" s="744"/>
      <c r="GZ124" s="744"/>
      <c r="HA124" s="744"/>
      <c r="HB124" s="744"/>
      <c r="HC124" s="744"/>
      <c r="HD124" s="744"/>
      <c r="HE124" s="744"/>
      <c r="HF124" s="744"/>
      <c r="HG124" s="744"/>
      <c r="HH124" s="744"/>
      <c r="HI124" s="744"/>
      <c r="HJ124" s="744"/>
      <c r="HK124" s="744"/>
      <c r="HL124" s="744"/>
      <c r="HM124" s="744"/>
      <c r="HN124" s="744"/>
      <c r="HO124" s="744"/>
      <c r="HP124" s="744"/>
      <c r="HQ124" s="744"/>
      <c r="HR124" s="744"/>
      <c r="HS124" s="744"/>
      <c r="HT124" s="744"/>
      <c r="HU124" s="744"/>
      <c r="HV124" s="744"/>
      <c r="HW124" s="744"/>
      <c r="HX124" s="744"/>
      <c r="HY124" s="744"/>
      <c r="HZ124" s="744"/>
      <c r="IA124" s="744"/>
      <c r="IB124" s="744"/>
      <c r="IC124" s="744"/>
      <c r="ID124" s="744"/>
      <c r="IE124" s="744"/>
      <c r="IF124" s="744"/>
      <c r="IG124" s="744"/>
      <c r="IH124" s="744"/>
      <c r="II124" s="744"/>
      <c r="IJ124" s="744"/>
      <c r="IK124" s="744"/>
      <c r="IL124" s="744"/>
      <c r="IM124" s="744"/>
      <c r="IN124" s="744"/>
      <c r="IO124" s="744"/>
      <c r="IP124" s="744"/>
      <c r="IQ124" s="744"/>
      <c r="IR124" s="744"/>
      <c r="IS124" s="744"/>
    </row>
    <row r="125" s="73" customFormat="1" ht="15" spans="1:253">
      <c r="A125" s="709" t="s">
        <v>139</v>
      </c>
      <c r="B125" s="682" t="s">
        <v>235</v>
      </c>
      <c r="C125" s="732" t="s">
        <v>167</v>
      </c>
      <c r="D125" s="729" t="s">
        <v>56</v>
      </c>
      <c r="E125" s="733">
        <f>'PB VI - Memorial'!B164</f>
        <v>0.59</v>
      </c>
      <c r="F125" s="711">
        <f>F119</f>
        <v>393.85</v>
      </c>
      <c r="G125" s="711">
        <f t="shared" si="6"/>
        <v>232.37</v>
      </c>
      <c r="H125" s="724"/>
      <c r="I125" s="724"/>
      <c r="J125" s="724"/>
      <c r="K125" s="724"/>
      <c r="L125" s="724"/>
      <c r="M125" s="724"/>
      <c r="N125" s="741"/>
      <c r="O125" s="741"/>
      <c r="P125" s="741"/>
      <c r="Q125" s="741"/>
      <c r="R125" s="741"/>
      <c r="S125" s="741"/>
      <c r="T125" s="741"/>
      <c r="U125" s="741"/>
      <c r="V125" s="741"/>
      <c r="W125" s="741"/>
      <c r="X125" s="741"/>
      <c r="Y125" s="741"/>
      <c r="Z125" s="741"/>
      <c r="AA125" s="741"/>
      <c r="AB125" s="741"/>
      <c r="AC125" s="741"/>
      <c r="AD125" s="741"/>
      <c r="AE125" s="741"/>
      <c r="AF125" s="741"/>
      <c r="AG125" s="741"/>
      <c r="AH125" s="741"/>
      <c r="AI125" s="741"/>
      <c r="AJ125" s="741"/>
      <c r="AK125" s="741"/>
      <c r="AL125" s="741"/>
      <c r="AM125" s="741"/>
      <c r="AN125" s="741"/>
      <c r="AO125" s="741"/>
      <c r="AP125" s="741"/>
      <c r="AQ125" s="741"/>
      <c r="AR125" s="741"/>
      <c r="AS125" s="741"/>
      <c r="AT125" s="741"/>
      <c r="AU125" s="741"/>
      <c r="AV125" s="741"/>
      <c r="AW125" s="741"/>
      <c r="AX125" s="741"/>
      <c r="AY125" s="741"/>
      <c r="AZ125" s="741"/>
      <c r="BA125" s="741"/>
      <c r="BB125" s="741"/>
      <c r="BC125" s="741"/>
      <c r="BD125" s="741"/>
      <c r="BE125" s="741"/>
      <c r="BF125" s="741"/>
      <c r="BG125" s="741"/>
      <c r="BH125" s="741"/>
      <c r="BI125" s="741"/>
      <c r="BJ125" s="741"/>
      <c r="BK125" s="741"/>
      <c r="BL125" s="741"/>
      <c r="BM125" s="741"/>
      <c r="BN125" s="741"/>
      <c r="BO125" s="741"/>
      <c r="BP125" s="741"/>
      <c r="BQ125" s="741"/>
      <c r="BR125" s="741"/>
      <c r="BS125" s="741"/>
      <c r="BT125" s="741"/>
      <c r="BU125" s="741"/>
      <c r="BV125" s="741"/>
      <c r="BW125" s="744"/>
      <c r="BX125" s="744"/>
      <c r="BY125" s="744"/>
      <c r="BZ125" s="744"/>
      <c r="CA125" s="744"/>
      <c r="CB125" s="744"/>
      <c r="CC125" s="744"/>
      <c r="CD125" s="744"/>
      <c r="CE125" s="744"/>
      <c r="CF125" s="744"/>
      <c r="CG125" s="744"/>
      <c r="CH125" s="744"/>
      <c r="CI125" s="744"/>
      <c r="CJ125" s="744"/>
      <c r="CK125" s="744"/>
      <c r="CL125" s="744"/>
      <c r="CM125" s="744"/>
      <c r="CN125" s="744"/>
      <c r="CO125" s="744"/>
      <c r="CP125" s="744"/>
      <c r="CQ125" s="744"/>
      <c r="CR125" s="744"/>
      <c r="CS125" s="744"/>
      <c r="CT125" s="744"/>
      <c r="CU125" s="744"/>
      <c r="CV125" s="744"/>
      <c r="CW125" s="744"/>
      <c r="CX125" s="744"/>
      <c r="CY125" s="744"/>
      <c r="CZ125" s="744"/>
      <c r="DA125" s="744"/>
      <c r="DB125" s="744"/>
      <c r="DC125" s="744"/>
      <c r="DD125" s="744"/>
      <c r="DE125" s="744"/>
      <c r="DF125" s="744"/>
      <c r="DG125" s="744"/>
      <c r="DH125" s="744"/>
      <c r="DI125" s="744"/>
      <c r="DJ125" s="744"/>
      <c r="DK125" s="744"/>
      <c r="DL125" s="744"/>
      <c r="DM125" s="744"/>
      <c r="DN125" s="744"/>
      <c r="DO125" s="744"/>
      <c r="DP125" s="744"/>
      <c r="DQ125" s="744"/>
      <c r="DR125" s="744"/>
      <c r="DS125" s="744"/>
      <c r="DT125" s="744"/>
      <c r="DU125" s="744"/>
      <c r="DV125" s="744"/>
      <c r="DW125" s="744"/>
      <c r="DX125" s="744"/>
      <c r="DY125" s="744"/>
      <c r="DZ125" s="744"/>
      <c r="EA125" s="744"/>
      <c r="EB125" s="744"/>
      <c r="EC125" s="744"/>
      <c r="ED125" s="744"/>
      <c r="EE125" s="744"/>
      <c r="EF125" s="744"/>
      <c r="EG125" s="744"/>
      <c r="EH125" s="744"/>
      <c r="EI125" s="744"/>
      <c r="EJ125" s="744"/>
      <c r="EK125" s="744"/>
      <c r="EL125" s="744"/>
      <c r="EM125" s="744"/>
      <c r="EN125" s="744"/>
      <c r="EO125" s="744"/>
      <c r="EP125" s="744"/>
      <c r="EQ125" s="744"/>
      <c r="ER125" s="744"/>
      <c r="ES125" s="744"/>
      <c r="ET125" s="744"/>
      <c r="EU125" s="744"/>
      <c r="EV125" s="744"/>
      <c r="EW125" s="744"/>
      <c r="EX125" s="744"/>
      <c r="EY125" s="744"/>
      <c r="EZ125" s="744"/>
      <c r="FA125" s="744"/>
      <c r="FB125" s="744"/>
      <c r="FC125" s="744"/>
      <c r="FD125" s="744"/>
      <c r="FE125" s="744"/>
      <c r="FF125" s="744"/>
      <c r="FG125" s="744"/>
      <c r="FH125" s="744"/>
      <c r="FI125" s="744"/>
      <c r="FJ125" s="744"/>
      <c r="FK125" s="744"/>
      <c r="FL125" s="744"/>
      <c r="FM125" s="744"/>
      <c r="FN125" s="744"/>
      <c r="FO125" s="744"/>
      <c r="FP125" s="744"/>
      <c r="FQ125" s="744"/>
      <c r="FR125" s="744"/>
      <c r="FS125" s="744"/>
      <c r="FT125" s="744"/>
      <c r="FU125" s="744"/>
      <c r="FV125" s="744"/>
      <c r="FW125" s="744"/>
      <c r="FX125" s="744"/>
      <c r="FY125" s="744"/>
      <c r="FZ125" s="744"/>
      <c r="GA125" s="744"/>
      <c r="GB125" s="744"/>
      <c r="GC125" s="744"/>
      <c r="GD125" s="744"/>
      <c r="GE125" s="744"/>
      <c r="GF125" s="744"/>
      <c r="GG125" s="744"/>
      <c r="GH125" s="744"/>
      <c r="GI125" s="744"/>
      <c r="GJ125" s="744"/>
      <c r="GK125" s="744"/>
      <c r="GL125" s="744"/>
      <c r="GM125" s="744"/>
      <c r="GN125" s="744"/>
      <c r="GO125" s="744"/>
      <c r="GP125" s="744"/>
      <c r="GQ125" s="744"/>
      <c r="GR125" s="744"/>
      <c r="GS125" s="744"/>
      <c r="GT125" s="744"/>
      <c r="GU125" s="744"/>
      <c r="GV125" s="744"/>
      <c r="GW125" s="744"/>
      <c r="GX125" s="744"/>
      <c r="GY125" s="744"/>
      <c r="GZ125" s="744"/>
      <c r="HA125" s="744"/>
      <c r="HB125" s="744"/>
      <c r="HC125" s="744"/>
      <c r="HD125" s="744"/>
      <c r="HE125" s="744"/>
      <c r="HF125" s="744"/>
      <c r="HG125" s="744"/>
      <c r="HH125" s="744"/>
      <c r="HI125" s="744"/>
      <c r="HJ125" s="744"/>
      <c r="HK125" s="744"/>
      <c r="HL125" s="744"/>
      <c r="HM125" s="744"/>
      <c r="HN125" s="744"/>
      <c r="HO125" s="744"/>
      <c r="HP125" s="744"/>
      <c r="HQ125" s="744"/>
      <c r="HR125" s="744"/>
      <c r="HS125" s="744"/>
      <c r="HT125" s="744"/>
      <c r="HU125" s="744"/>
      <c r="HV125" s="744"/>
      <c r="HW125" s="744"/>
      <c r="HX125" s="744"/>
      <c r="HY125" s="744"/>
      <c r="HZ125" s="744"/>
      <c r="IA125" s="744"/>
      <c r="IB125" s="744"/>
      <c r="IC125" s="744"/>
      <c r="ID125" s="744"/>
      <c r="IE125" s="744"/>
      <c r="IF125" s="744"/>
      <c r="IG125" s="744"/>
      <c r="IH125" s="744"/>
      <c r="II125" s="744"/>
      <c r="IJ125" s="744"/>
      <c r="IK125" s="744"/>
      <c r="IL125" s="744"/>
      <c r="IM125" s="744"/>
      <c r="IN125" s="744"/>
      <c r="IO125" s="744"/>
      <c r="IP125" s="744"/>
      <c r="IQ125" s="744"/>
      <c r="IR125" s="744"/>
      <c r="IS125" s="744"/>
    </row>
    <row r="126" s="73" customFormat="1" ht="15" spans="1:253">
      <c r="A126" s="709" t="s">
        <v>90</v>
      </c>
      <c r="B126" s="682" t="s">
        <v>236</v>
      </c>
      <c r="C126" s="732" t="s">
        <v>143</v>
      </c>
      <c r="D126" s="729" t="s">
        <v>56</v>
      </c>
      <c r="E126" s="733">
        <f>E125</f>
        <v>0.59</v>
      </c>
      <c r="F126" s="711">
        <f>F120</f>
        <v>143.94</v>
      </c>
      <c r="G126" s="711">
        <f t="shared" si="6"/>
        <v>84.92</v>
      </c>
      <c r="H126" s="724"/>
      <c r="I126" s="724"/>
      <c r="J126" s="724"/>
      <c r="K126" s="724"/>
      <c r="L126" s="724"/>
      <c r="M126" s="724"/>
      <c r="N126" s="741"/>
      <c r="O126" s="741"/>
      <c r="P126" s="741"/>
      <c r="Q126" s="741"/>
      <c r="R126" s="741"/>
      <c r="S126" s="741"/>
      <c r="T126" s="741"/>
      <c r="U126" s="741"/>
      <c r="V126" s="741"/>
      <c r="W126" s="741"/>
      <c r="X126" s="741"/>
      <c r="Y126" s="741"/>
      <c r="Z126" s="741"/>
      <c r="AA126" s="741"/>
      <c r="AB126" s="741"/>
      <c r="AC126" s="741"/>
      <c r="AD126" s="741"/>
      <c r="AE126" s="741"/>
      <c r="AF126" s="741"/>
      <c r="AG126" s="741"/>
      <c r="AH126" s="741"/>
      <c r="AI126" s="741"/>
      <c r="AJ126" s="741"/>
      <c r="AK126" s="741"/>
      <c r="AL126" s="741"/>
      <c r="AM126" s="741"/>
      <c r="AN126" s="741"/>
      <c r="AO126" s="741"/>
      <c r="AP126" s="741"/>
      <c r="AQ126" s="741"/>
      <c r="AR126" s="741"/>
      <c r="AS126" s="741"/>
      <c r="AT126" s="741"/>
      <c r="AU126" s="741"/>
      <c r="AV126" s="741"/>
      <c r="AW126" s="741"/>
      <c r="AX126" s="741"/>
      <c r="AY126" s="741"/>
      <c r="AZ126" s="741"/>
      <c r="BA126" s="741"/>
      <c r="BB126" s="741"/>
      <c r="BC126" s="741"/>
      <c r="BD126" s="741"/>
      <c r="BE126" s="741"/>
      <c r="BF126" s="741"/>
      <c r="BG126" s="741"/>
      <c r="BH126" s="741"/>
      <c r="BI126" s="741"/>
      <c r="BJ126" s="741"/>
      <c r="BK126" s="741"/>
      <c r="BL126" s="741"/>
      <c r="BM126" s="741"/>
      <c r="BN126" s="741"/>
      <c r="BO126" s="741"/>
      <c r="BP126" s="741"/>
      <c r="BQ126" s="741"/>
      <c r="BR126" s="741"/>
      <c r="BS126" s="741"/>
      <c r="BT126" s="741"/>
      <c r="BU126" s="741"/>
      <c r="BV126" s="741"/>
      <c r="BW126" s="744"/>
      <c r="BX126" s="744"/>
      <c r="BY126" s="744"/>
      <c r="BZ126" s="744"/>
      <c r="CA126" s="744"/>
      <c r="CB126" s="744"/>
      <c r="CC126" s="744"/>
      <c r="CD126" s="744"/>
      <c r="CE126" s="744"/>
      <c r="CF126" s="744"/>
      <c r="CG126" s="744"/>
      <c r="CH126" s="744"/>
      <c r="CI126" s="744"/>
      <c r="CJ126" s="744"/>
      <c r="CK126" s="744"/>
      <c r="CL126" s="744"/>
      <c r="CM126" s="744"/>
      <c r="CN126" s="744"/>
      <c r="CO126" s="744"/>
      <c r="CP126" s="744"/>
      <c r="CQ126" s="744"/>
      <c r="CR126" s="744"/>
      <c r="CS126" s="744"/>
      <c r="CT126" s="744"/>
      <c r="CU126" s="744"/>
      <c r="CV126" s="744"/>
      <c r="CW126" s="744"/>
      <c r="CX126" s="744"/>
      <c r="CY126" s="744"/>
      <c r="CZ126" s="744"/>
      <c r="DA126" s="744"/>
      <c r="DB126" s="744"/>
      <c r="DC126" s="744"/>
      <c r="DD126" s="744"/>
      <c r="DE126" s="744"/>
      <c r="DF126" s="744"/>
      <c r="DG126" s="744"/>
      <c r="DH126" s="744"/>
      <c r="DI126" s="744"/>
      <c r="DJ126" s="744"/>
      <c r="DK126" s="744"/>
      <c r="DL126" s="744"/>
      <c r="DM126" s="744"/>
      <c r="DN126" s="744"/>
      <c r="DO126" s="744"/>
      <c r="DP126" s="744"/>
      <c r="DQ126" s="744"/>
      <c r="DR126" s="744"/>
      <c r="DS126" s="744"/>
      <c r="DT126" s="744"/>
      <c r="DU126" s="744"/>
      <c r="DV126" s="744"/>
      <c r="DW126" s="744"/>
      <c r="DX126" s="744"/>
      <c r="DY126" s="744"/>
      <c r="DZ126" s="744"/>
      <c r="EA126" s="744"/>
      <c r="EB126" s="744"/>
      <c r="EC126" s="744"/>
      <c r="ED126" s="744"/>
      <c r="EE126" s="744"/>
      <c r="EF126" s="744"/>
      <c r="EG126" s="744"/>
      <c r="EH126" s="744"/>
      <c r="EI126" s="744"/>
      <c r="EJ126" s="744"/>
      <c r="EK126" s="744"/>
      <c r="EL126" s="744"/>
      <c r="EM126" s="744"/>
      <c r="EN126" s="744"/>
      <c r="EO126" s="744"/>
      <c r="EP126" s="744"/>
      <c r="EQ126" s="744"/>
      <c r="ER126" s="744"/>
      <c r="ES126" s="744"/>
      <c r="ET126" s="744"/>
      <c r="EU126" s="744"/>
      <c r="EV126" s="744"/>
      <c r="EW126" s="744"/>
      <c r="EX126" s="744"/>
      <c r="EY126" s="744"/>
      <c r="EZ126" s="744"/>
      <c r="FA126" s="744"/>
      <c r="FB126" s="744"/>
      <c r="FC126" s="744"/>
      <c r="FD126" s="744"/>
      <c r="FE126" s="744"/>
      <c r="FF126" s="744"/>
      <c r="FG126" s="744"/>
      <c r="FH126" s="744"/>
      <c r="FI126" s="744"/>
      <c r="FJ126" s="744"/>
      <c r="FK126" s="744"/>
      <c r="FL126" s="744"/>
      <c r="FM126" s="744"/>
      <c r="FN126" s="744"/>
      <c r="FO126" s="744"/>
      <c r="FP126" s="744"/>
      <c r="FQ126" s="744"/>
      <c r="FR126" s="744"/>
      <c r="FS126" s="744"/>
      <c r="FT126" s="744"/>
      <c r="FU126" s="744"/>
      <c r="FV126" s="744"/>
      <c r="FW126" s="744"/>
      <c r="FX126" s="744"/>
      <c r="FY126" s="744"/>
      <c r="FZ126" s="744"/>
      <c r="GA126" s="744"/>
      <c r="GB126" s="744"/>
      <c r="GC126" s="744"/>
      <c r="GD126" s="744"/>
      <c r="GE126" s="744"/>
      <c r="GF126" s="744"/>
      <c r="GG126" s="744"/>
      <c r="GH126" s="744"/>
      <c r="GI126" s="744"/>
      <c r="GJ126" s="744"/>
      <c r="GK126" s="744"/>
      <c r="GL126" s="744"/>
      <c r="GM126" s="744"/>
      <c r="GN126" s="744"/>
      <c r="GO126" s="744"/>
      <c r="GP126" s="744"/>
      <c r="GQ126" s="744"/>
      <c r="GR126" s="744"/>
      <c r="GS126" s="744"/>
      <c r="GT126" s="744"/>
      <c r="GU126" s="744"/>
      <c r="GV126" s="744"/>
      <c r="GW126" s="744"/>
      <c r="GX126" s="744"/>
      <c r="GY126" s="744"/>
      <c r="GZ126" s="744"/>
      <c r="HA126" s="744"/>
      <c r="HB126" s="744"/>
      <c r="HC126" s="744"/>
      <c r="HD126" s="744"/>
      <c r="HE126" s="744"/>
      <c r="HF126" s="744"/>
      <c r="HG126" s="744"/>
      <c r="HH126" s="744"/>
      <c r="HI126" s="744"/>
      <c r="HJ126" s="744"/>
      <c r="HK126" s="744"/>
      <c r="HL126" s="744"/>
      <c r="HM126" s="744"/>
      <c r="HN126" s="744"/>
      <c r="HO126" s="744"/>
      <c r="HP126" s="744"/>
      <c r="HQ126" s="744"/>
      <c r="HR126" s="744"/>
      <c r="HS126" s="744"/>
      <c r="HT126" s="744"/>
      <c r="HU126" s="744"/>
      <c r="HV126" s="744"/>
      <c r="HW126" s="744"/>
      <c r="HX126" s="744"/>
      <c r="HY126" s="744"/>
      <c r="HZ126" s="744"/>
      <c r="IA126" s="744"/>
      <c r="IB126" s="744"/>
      <c r="IC126" s="744"/>
      <c r="ID126" s="744"/>
      <c r="IE126" s="744"/>
      <c r="IF126" s="744"/>
      <c r="IG126" s="744"/>
      <c r="IH126" s="744"/>
      <c r="II126" s="744"/>
      <c r="IJ126" s="744"/>
      <c r="IK126" s="744"/>
      <c r="IL126" s="744"/>
      <c r="IM126" s="744"/>
      <c r="IN126" s="744"/>
      <c r="IO126" s="744"/>
      <c r="IP126" s="744"/>
      <c r="IQ126" s="744"/>
      <c r="IR126" s="744"/>
      <c r="IS126" s="744"/>
    </row>
    <row r="127" s="73" customFormat="1" ht="15" spans="1:253">
      <c r="A127" s="709" t="s">
        <v>203</v>
      </c>
      <c r="B127" s="682" t="s">
        <v>237</v>
      </c>
      <c r="C127" s="732" t="s">
        <v>193</v>
      </c>
      <c r="D127" s="729" t="s">
        <v>17</v>
      </c>
      <c r="E127" s="733">
        <f>'PB VI - Memorial'!C164</f>
        <v>9.48</v>
      </c>
      <c r="F127" s="711">
        <v>73.63</v>
      </c>
      <c r="G127" s="711">
        <f t="shared" si="6"/>
        <v>698.01</v>
      </c>
      <c r="H127" s="724"/>
      <c r="I127" s="724"/>
      <c r="J127" s="724"/>
      <c r="K127" s="724"/>
      <c r="L127" s="724"/>
      <c r="M127" s="724"/>
      <c r="N127" s="741"/>
      <c r="O127" s="741"/>
      <c r="P127" s="741"/>
      <c r="Q127" s="741"/>
      <c r="R127" s="741"/>
      <c r="S127" s="741"/>
      <c r="T127" s="741"/>
      <c r="U127" s="741"/>
      <c r="V127" s="741"/>
      <c r="W127" s="741"/>
      <c r="X127" s="741"/>
      <c r="Y127" s="741"/>
      <c r="Z127" s="741"/>
      <c r="AA127" s="741"/>
      <c r="AB127" s="741"/>
      <c r="AC127" s="741"/>
      <c r="AD127" s="741"/>
      <c r="AE127" s="741"/>
      <c r="AF127" s="741"/>
      <c r="AG127" s="741"/>
      <c r="AH127" s="741"/>
      <c r="AI127" s="741"/>
      <c r="AJ127" s="741"/>
      <c r="AK127" s="741"/>
      <c r="AL127" s="741"/>
      <c r="AM127" s="741"/>
      <c r="AN127" s="741"/>
      <c r="AO127" s="741"/>
      <c r="AP127" s="741"/>
      <c r="AQ127" s="741"/>
      <c r="AR127" s="741"/>
      <c r="AS127" s="741"/>
      <c r="AT127" s="741"/>
      <c r="AU127" s="741"/>
      <c r="AV127" s="741"/>
      <c r="AW127" s="741"/>
      <c r="AX127" s="741"/>
      <c r="AY127" s="741"/>
      <c r="AZ127" s="741"/>
      <c r="BA127" s="741"/>
      <c r="BB127" s="741"/>
      <c r="BC127" s="741"/>
      <c r="BD127" s="741"/>
      <c r="BE127" s="741"/>
      <c r="BF127" s="741"/>
      <c r="BG127" s="741"/>
      <c r="BH127" s="741"/>
      <c r="BI127" s="741"/>
      <c r="BJ127" s="741"/>
      <c r="BK127" s="741"/>
      <c r="BL127" s="741"/>
      <c r="BM127" s="741"/>
      <c r="BN127" s="741"/>
      <c r="BO127" s="741"/>
      <c r="BP127" s="741"/>
      <c r="BQ127" s="741"/>
      <c r="BR127" s="741"/>
      <c r="BS127" s="741"/>
      <c r="BT127" s="741"/>
      <c r="BU127" s="741"/>
      <c r="BV127" s="741"/>
      <c r="BW127" s="744"/>
      <c r="BX127" s="744"/>
      <c r="BY127" s="744"/>
      <c r="BZ127" s="744"/>
      <c r="CA127" s="744"/>
      <c r="CB127" s="744"/>
      <c r="CC127" s="744"/>
      <c r="CD127" s="744"/>
      <c r="CE127" s="744"/>
      <c r="CF127" s="744"/>
      <c r="CG127" s="744"/>
      <c r="CH127" s="744"/>
      <c r="CI127" s="744"/>
      <c r="CJ127" s="744"/>
      <c r="CK127" s="744"/>
      <c r="CL127" s="744"/>
      <c r="CM127" s="744"/>
      <c r="CN127" s="744"/>
      <c r="CO127" s="744"/>
      <c r="CP127" s="744"/>
      <c r="CQ127" s="744"/>
      <c r="CR127" s="744"/>
      <c r="CS127" s="744"/>
      <c r="CT127" s="744"/>
      <c r="CU127" s="744"/>
      <c r="CV127" s="744"/>
      <c r="CW127" s="744"/>
      <c r="CX127" s="744"/>
      <c r="CY127" s="744"/>
      <c r="CZ127" s="744"/>
      <c r="DA127" s="744"/>
      <c r="DB127" s="744"/>
      <c r="DC127" s="744"/>
      <c r="DD127" s="744"/>
      <c r="DE127" s="744"/>
      <c r="DF127" s="744"/>
      <c r="DG127" s="744"/>
      <c r="DH127" s="744"/>
      <c r="DI127" s="744"/>
      <c r="DJ127" s="744"/>
      <c r="DK127" s="744"/>
      <c r="DL127" s="744"/>
      <c r="DM127" s="744"/>
      <c r="DN127" s="744"/>
      <c r="DO127" s="744"/>
      <c r="DP127" s="744"/>
      <c r="DQ127" s="744"/>
      <c r="DR127" s="744"/>
      <c r="DS127" s="744"/>
      <c r="DT127" s="744"/>
      <c r="DU127" s="744"/>
      <c r="DV127" s="744"/>
      <c r="DW127" s="744"/>
      <c r="DX127" s="744"/>
      <c r="DY127" s="744"/>
      <c r="DZ127" s="744"/>
      <c r="EA127" s="744"/>
      <c r="EB127" s="744"/>
      <c r="EC127" s="744"/>
      <c r="ED127" s="744"/>
      <c r="EE127" s="744"/>
      <c r="EF127" s="744"/>
      <c r="EG127" s="744"/>
      <c r="EH127" s="744"/>
      <c r="EI127" s="744"/>
      <c r="EJ127" s="744"/>
      <c r="EK127" s="744"/>
      <c r="EL127" s="744"/>
      <c r="EM127" s="744"/>
      <c r="EN127" s="744"/>
      <c r="EO127" s="744"/>
      <c r="EP127" s="744"/>
      <c r="EQ127" s="744"/>
      <c r="ER127" s="744"/>
      <c r="ES127" s="744"/>
      <c r="ET127" s="744"/>
      <c r="EU127" s="744"/>
      <c r="EV127" s="744"/>
      <c r="EW127" s="744"/>
      <c r="EX127" s="744"/>
      <c r="EY127" s="744"/>
      <c r="EZ127" s="744"/>
      <c r="FA127" s="744"/>
      <c r="FB127" s="744"/>
      <c r="FC127" s="744"/>
      <c r="FD127" s="744"/>
      <c r="FE127" s="744"/>
      <c r="FF127" s="744"/>
      <c r="FG127" s="744"/>
      <c r="FH127" s="744"/>
      <c r="FI127" s="744"/>
      <c r="FJ127" s="744"/>
      <c r="FK127" s="744"/>
      <c r="FL127" s="744"/>
      <c r="FM127" s="744"/>
      <c r="FN127" s="744"/>
      <c r="FO127" s="744"/>
      <c r="FP127" s="744"/>
      <c r="FQ127" s="744"/>
      <c r="FR127" s="744"/>
      <c r="FS127" s="744"/>
      <c r="FT127" s="744"/>
      <c r="FU127" s="744"/>
      <c r="FV127" s="744"/>
      <c r="FW127" s="744"/>
      <c r="FX127" s="744"/>
      <c r="FY127" s="744"/>
      <c r="FZ127" s="744"/>
      <c r="GA127" s="744"/>
      <c r="GB127" s="744"/>
      <c r="GC127" s="744"/>
      <c r="GD127" s="744"/>
      <c r="GE127" s="744"/>
      <c r="GF127" s="744"/>
      <c r="GG127" s="744"/>
      <c r="GH127" s="744"/>
      <c r="GI127" s="744"/>
      <c r="GJ127" s="744"/>
      <c r="GK127" s="744"/>
      <c r="GL127" s="744"/>
      <c r="GM127" s="744"/>
      <c r="GN127" s="744"/>
      <c r="GO127" s="744"/>
      <c r="GP127" s="744"/>
      <c r="GQ127" s="744"/>
      <c r="GR127" s="744"/>
      <c r="GS127" s="744"/>
      <c r="GT127" s="744"/>
      <c r="GU127" s="744"/>
      <c r="GV127" s="744"/>
      <c r="GW127" s="744"/>
      <c r="GX127" s="744"/>
      <c r="GY127" s="744"/>
      <c r="GZ127" s="744"/>
      <c r="HA127" s="744"/>
      <c r="HB127" s="744"/>
      <c r="HC127" s="744"/>
      <c r="HD127" s="744"/>
      <c r="HE127" s="744"/>
      <c r="HF127" s="744"/>
      <c r="HG127" s="744"/>
      <c r="HH127" s="744"/>
      <c r="HI127" s="744"/>
      <c r="HJ127" s="744"/>
      <c r="HK127" s="744"/>
      <c r="HL127" s="744"/>
      <c r="HM127" s="744"/>
      <c r="HN127" s="744"/>
      <c r="HO127" s="744"/>
      <c r="HP127" s="744"/>
      <c r="HQ127" s="744"/>
      <c r="HR127" s="744"/>
      <c r="HS127" s="744"/>
      <c r="HT127" s="744"/>
      <c r="HU127" s="744"/>
      <c r="HV127" s="744"/>
      <c r="HW127" s="744"/>
      <c r="HX127" s="744"/>
      <c r="HY127" s="744"/>
      <c r="HZ127" s="744"/>
      <c r="IA127" s="744"/>
      <c r="IB127" s="744"/>
      <c r="IC127" s="744"/>
      <c r="ID127" s="744"/>
      <c r="IE127" s="744"/>
      <c r="IF127" s="744"/>
      <c r="IG127" s="744"/>
      <c r="IH127" s="744"/>
      <c r="II127" s="744"/>
      <c r="IJ127" s="744"/>
      <c r="IK127" s="744"/>
      <c r="IL127" s="744"/>
      <c r="IM127" s="744"/>
      <c r="IN127" s="744"/>
      <c r="IO127" s="744"/>
      <c r="IP127" s="744"/>
      <c r="IQ127" s="744"/>
      <c r="IR127" s="744"/>
      <c r="IS127" s="744"/>
    </row>
    <row r="128" s="73" customFormat="1" ht="15" spans="1:253">
      <c r="A128" s="709" t="s">
        <v>174</v>
      </c>
      <c r="B128" s="682" t="s">
        <v>238</v>
      </c>
      <c r="C128" s="732" t="s">
        <v>151</v>
      </c>
      <c r="D128" s="729" t="s">
        <v>95</v>
      </c>
      <c r="E128" s="733">
        <f>'PB VI - Memorial'!C166</f>
        <v>18.55</v>
      </c>
      <c r="F128" s="711">
        <v>11.16</v>
      </c>
      <c r="G128" s="711">
        <f t="shared" si="6"/>
        <v>207.02</v>
      </c>
      <c r="H128" s="724"/>
      <c r="I128" s="724"/>
      <c r="J128" s="724"/>
      <c r="K128" s="724"/>
      <c r="L128" s="724"/>
      <c r="M128" s="724"/>
      <c r="N128" s="741"/>
      <c r="O128" s="741"/>
      <c r="P128" s="741"/>
      <c r="Q128" s="741"/>
      <c r="R128" s="741"/>
      <c r="S128" s="741"/>
      <c r="T128" s="741"/>
      <c r="U128" s="741"/>
      <c r="V128" s="741"/>
      <c r="W128" s="741"/>
      <c r="X128" s="741"/>
      <c r="Y128" s="741"/>
      <c r="Z128" s="741"/>
      <c r="AA128" s="741"/>
      <c r="AB128" s="741"/>
      <c r="AC128" s="741"/>
      <c r="AD128" s="741"/>
      <c r="AE128" s="741"/>
      <c r="AF128" s="741"/>
      <c r="AG128" s="741"/>
      <c r="AH128" s="741"/>
      <c r="AI128" s="741"/>
      <c r="AJ128" s="741"/>
      <c r="AK128" s="741"/>
      <c r="AL128" s="741"/>
      <c r="AM128" s="741"/>
      <c r="AN128" s="741"/>
      <c r="AO128" s="741"/>
      <c r="AP128" s="741"/>
      <c r="AQ128" s="741"/>
      <c r="AR128" s="741"/>
      <c r="AS128" s="741"/>
      <c r="AT128" s="741"/>
      <c r="AU128" s="741"/>
      <c r="AV128" s="741"/>
      <c r="AW128" s="741"/>
      <c r="AX128" s="741"/>
      <c r="AY128" s="741"/>
      <c r="AZ128" s="741"/>
      <c r="BA128" s="741"/>
      <c r="BB128" s="741"/>
      <c r="BC128" s="741"/>
      <c r="BD128" s="741"/>
      <c r="BE128" s="741"/>
      <c r="BF128" s="741"/>
      <c r="BG128" s="741"/>
      <c r="BH128" s="741"/>
      <c r="BI128" s="741"/>
      <c r="BJ128" s="741"/>
      <c r="BK128" s="741"/>
      <c r="BL128" s="741"/>
      <c r="BM128" s="741"/>
      <c r="BN128" s="741"/>
      <c r="BO128" s="741"/>
      <c r="BP128" s="741"/>
      <c r="BQ128" s="741"/>
      <c r="BR128" s="741"/>
      <c r="BS128" s="741"/>
      <c r="BT128" s="741"/>
      <c r="BU128" s="741"/>
      <c r="BV128" s="741"/>
      <c r="BW128" s="744"/>
      <c r="BX128" s="744"/>
      <c r="BY128" s="744"/>
      <c r="BZ128" s="744"/>
      <c r="CA128" s="744"/>
      <c r="CB128" s="744"/>
      <c r="CC128" s="744"/>
      <c r="CD128" s="744"/>
      <c r="CE128" s="744"/>
      <c r="CF128" s="744"/>
      <c r="CG128" s="744"/>
      <c r="CH128" s="744"/>
      <c r="CI128" s="744"/>
      <c r="CJ128" s="744"/>
      <c r="CK128" s="744"/>
      <c r="CL128" s="744"/>
      <c r="CM128" s="744"/>
      <c r="CN128" s="744"/>
      <c r="CO128" s="744"/>
      <c r="CP128" s="744"/>
      <c r="CQ128" s="744"/>
      <c r="CR128" s="744"/>
      <c r="CS128" s="744"/>
      <c r="CT128" s="744"/>
      <c r="CU128" s="744"/>
      <c r="CV128" s="744"/>
      <c r="CW128" s="744"/>
      <c r="CX128" s="744"/>
      <c r="CY128" s="744"/>
      <c r="CZ128" s="744"/>
      <c r="DA128" s="744"/>
      <c r="DB128" s="744"/>
      <c r="DC128" s="744"/>
      <c r="DD128" s="744"/>
      <c r="DE128" s="744"/>
      <c r="DF128" s="744"/>
      <c r="DG128" s="744"/>
      <c r="DH128" s="744"/>
      <c r="DI128" s="744"/>
      <c r="DJ128" s="744"/>
      <c r="DK128" s="744"/>
      <c r="DL128" s="744"/>
      <c r="DM128" s="744"/>
      <c r="DN128" s="744"/>
      <c r="DO128" s="744"/>
      <c r="DP128" s="744"/>
      <c r="DQ128" s="744"/>
      <c r="DR128" s="744"/>
      <c r="DS128" s="744"/>
      <c r="DT128" s="744"/>
      <c r="DU128" s="744"/>
      <c r="DV128" s="744"/>
      <c r="DW128" s="744"/>
      <c r="DX128" s="744"/>
      <c r="DY128" s="744"/>
      <c r="DZ128" s="744"/>
      <c r="EA128" s="744"/>
      <c r="EB128" s="744"/>
      <c r="EC128" s="744"/>
      <c r="ED128" s="744"/>
      <c r="EE128" s="744"/>
      <c r="EF128" s="744"/>
      <c r="EG128" s="744"/>
      <c r="EH128" s="744"/>
      <c r="EI128" s="744"/>
      <c r="EJ128" s="744"/>
      <c r="EK128" s="744"/>
      <c r="EL128" s="744"/>
      <c r="EM128" s="744"/>
      <c r="EN128" s="744"/>
      <c r="EO128" s="744"/>
      <c r="EP128" s="744"/>
      <c r="EQ128" s="744"/>
      <c r="ER128" s="744"/>
      <c r="ES128" s="744"/>
      <c r="ET128" s="744"/>
      <c r="EU128" s="744"/>
      <c r="EV128" s="744"/>
      <c r="EW128" s="744"/>
      <c r="EX128" s="744"/>
      <c r="EY128" s="744"/>
      <c r="EZ128" s="744"/>
      <c r="FA128" s="744"/>
      <c r="FB128" s="744"/>
      <c r="FC128" s="744"/>
      <c r="FD128" s="744"/>
      <c r="FE128" s="744"/>
      <c r="FF128" s="744"/>
      <c r="FG128" s="744"/>
      <c r="FH128" s="744"/>
      <c r="FI128" s="744"/>
      <c r="FJ128" s="744"/>
      <c r="FK128" s="744"/>
      <c r="FL128" s="744"/>
      <c r="FM128" s="744"/>
      <c r="FN128" s="744"/>
      <c r="FO128" s="744"/>
      <c r="FP128" s="744"/>
      <c r="FQ128" s="744"/>
      <c r="FR128" s="744"/>
      <c r="FS128" s="744"/>
      <c r="FT128" s="744"/>
      <c r="FU128" s="744"/>
      <c r="FV128" s="744"/>
      <c r="FW128" s="744"/>
      <c r="FX128" s="744"/>
      <c r="FY128" s="744"/>
      <c r="FZ128" s="744"/>
      <c r="GA128" s="744"/>
      <c r="GB128" s="744"/>
      <c r="GC128" s="744"/>
      <c r="GD128" s="744"/>
      <c r="GE128" s="744"/>
      <c r="GF128" s="744"/>
      <c r="GG128" s="744"/>
      <c r="GH128" s="744"/>
      <c r="GI128" s="744"/>
      <c r="GJ128" s="744"/>
      <c r="GK128" s="744"/>
      <c r="GL128" s="744"/>
      <c r="GM128" s="744"/>
      <c r="GN128" s="744"/>
      <c r="GO128" s="744"/>
      <c r="GP128" s="744"/>
      <c r="GQ128" s="744"/>
      <c r="GR128" s="744"/>
      <c r="GS128" s="744"/>
      <c r="GT128" s="744"/>
      <c r="GU128" s="744"/>
      <c r="GV128" s="744"/>
      <c r="GW128" s="744"/>
      <c r="GX128" s="744"/>
      <c r="GY128" s="744"/>
      <c r="GZ128" s="744"/>
      <c r="HA128" s="744"/>
      <c r="HB128" s="744"/>
      <c r="HC128" s="744"/>
      <c r="HD128" s="744"/>
      <c r="HE128" s="744"/>
      <c r="HF128" s="744"/>
      <c r="HG128" s="744"/>
      <c r="HH128" s="744"/>
      <c r="HI128" s="744"/>
      <c r="HJ128" s="744"/>
      <c r="HK128" s="744"/>
      <c r="HL128" s="744"/>
      <c r="HM128" s="744"/>
      <c r="HN128" s="744"/>
      <c r="HO128" s="744"/>
      <c r="HP128" s="744"/>
      <c r="HQ128" s="744"/>
      <c r="HR128" s="744"/>
      <c r="HS128" s="744"/>
      <c r="HT128" s="744"/>
      <c r="HU128" s="744"/>
      <c r="HV128" s="744"/>
      <c r="HW128" s="744"/>
      <c r="HX128" s="744"/>
      <c r="HY128" s="744"/>
      <c r="HZ128" s="744"/>
      <c r="IA128" s="744"/>
      <c r="IB128" s="744"/>
      <c r="IC128" s="744"/>
      <c r="ID128" s="744"/>
      <c r="IE128" s="744"/>
      <c r="IF128" s="744"/>
      <c r="IG128" s="744"/>
      <c r="IH128" s="744"/>
      <c r="II128" s="744"/>
      <c r="IJ128" s="744"/>
      <c r="IK128" s="744"/>
      <c r="IL128" s="744"/>
      <c r="IM128" s="744"/>
      <c r="IN128" s="744"/>
      <c r="IO128" s="744"/>
      <c r="IP128" s="744"/>
      <c r="IQ128" s="744"/>
      <c r="IR128" s="744"/>
      <c r="IS128" s="744"/>
    </row>
    <row r="129" s="73" customFormat="1" ht="15" spans="1:253">
      <c r="A129" s="709" t="s">
        <v>180</v>
      </c>
      <c r="B129" s="682" t="s">
        <v>239</v>
      </c>
      <c r="C129" s="732" t="s">
        <v>182</v>
      </c>
      <c r="D129" s="729" t="s">
        <v>95</v>
      </c>
      <c r="E129" s="733">
        <f>'PB VI - Memorial'!G166</f>
        <v>7.64</v>
      </c>
      <c r="F129" s="711">
        <v>13.31</v>
      </c>
      <c r="G129" s="711">
        <f t="shared" si="6"/>
        <v>101.69</v>
      </c>
      <c r="H129" s="724"/>
      <c r="I129" s="724"/>
      <c r="J129" s="724"/>
      <c r="K129" s="724"/>
      <c r="L129" s="724"/>
      <c r="M129" s="724"/>
      <c r="N129" s="741"/>
      <c r="O129" s="741"/>
      <c r="P129" s="741"/>
      <c r="Q129" s="741"/>
      <c r="R129" s="741"/>
      <c r="S129" s="741"/>
      <c r="T129" s="741"/>
      <c r="U129" s="741"/>
      <c r="V129" s="741"/>
      <c r="W129" s="741"/>
      <c r="X129" s="741"/>
      <c r="Y129" s="741"/>
      <c r="Z129" s="741"/>
      <c r="AA129" s="741"/>
      <c r="AB129" s="741"/>
      <c r="AC129" s="741"/>
      <c r="AD129" s="741"/>
      <c r="AE129" s="741"/>
      <c r="AF129" s="741"/>
      <c r="AG129" s="741"/>
      <c r="AH129" s="741"/>
      <c r="AI129" s="741"/>
      <c r="AJ129" s="741"/>
      <c r="AK129" s="741"/>
      <c r="AL129" s="741"/>
      <c r="AM129" s="741"/>
      <c r="AN129" s="741"/>
      <c r="AO129" s="741"/>
      <c r="AP129" s="741"/>
      <c r="AQ129" s="741"/>
      <c r="AR129" s="741"/>
      <c r="AS129" s="741"/>
      <c r="AT129" s="741"/>
      <c r="AU129" s="741"/>
      <c r="AV129" s="741"/>
      <c r="AW129" s="741"/>
      <c r="AX129" s="741"/>
      <c r="AY129" s="741"/>
      <c r="AZ129" s="741"/>
      <c r="BA129" s="741"/>
      <c r="BB129" s="741"/>
      <c r="BC129" s="741"/>
      <c r="BD129" s="741"/>
      <c r="BE129" s="741"/>
      <c r="BF129" s="741"/>
      <c r="BG129" s="741"/>
      <c r="BH129" s="741"/>
      <c r="BI129" s="741"/>
      <c r="BJ129" s="741"/>
      <c r="BK129" s="741"/>
      <c r="BL129" s="741"/>
      <c r="BM129" s="741"/>
      <c r="BN129" s="741"/>
      <c r="BO129" s="741"/>
      <c r="BP129" s="741"/>
      <c r="BQ129" s="741"/>
      <c r="BR129" s="741"/>
      <c r="BS129" s="741"/>
      <c r="BT129" s="741"/>
      <c r="BU129" s="741"/>
      <c r="BV129" s="741"/>
      <c r="BW129" s="744"/>
      <c r="BX129" s="744"/>
      <c r="BY129" s="744"/>
      <c r="BZ129" s="744"/>
      <c r="CA129" s="744"/>
      <c r="CB129" s="744"/>
      <c r="CC129" s="744"/>
      <c r="CD129" s="744"/>
      <c r="CE129" s="744"/>
      <c r="CF129" s="744"/>
      <c r="CG129" s="744"/>
      <c r="CH129" s="744"/>
      <c r="CI129" s="744"/>
      <c r="CJ129" s="744"/>
      <c r="CK129" s="744"/>
      <c r="CL129" s="744"/>
      <c r="CM129" s="744"/>
      <c r="CN129" s="744"/>
      <c r="CO129" s="744"/>
      <c r="CP129" s="744"/>
      <c r="CQ129" s="744"/>
      <c r="CR129" s="744"/>
      <c r="CS129" s="744"/>
      <c r="CT129" s="744"/>
      <c r="CU129" s="744"/>
      <c r="CV129" s="744"/>
      <c r="CW129" s="744"/>
      <c r="CX129" s="744"/>
      <c r="CY129" s="744"/>
      <c r="CZ129" s="744"/>
      <c r="DA129" s="744"/>
      <c r="DB129" s="744"/>
      <c r="DC129" s="744"/>
      <c r="DD129" s="744"/>
      <c r="DE129" s="744"/>
      <c r="DF129" s="744"/>
      <c r="DG129" s="744"/>
      <c r="DH129" s="744"/>
      <c r="DI129" s="744"/>
      <c r="DJ129" s="744"/>
      <c r="DK129" s="744"/>
      <c r="DL129" s="744"/>
      <c r="DM129" s="744"/>
      <c r="DN129" s="744"/>
      <c r="DO129" s="744"/>
      <c r="DP129" s="744"/>
      <c r="DQ129" s="744"/>
      <c r="DR129" s="744"/>
      <c r="DS129" s="744"/>
      <c r="DT129" s="744"/>
      <c r="DU129" s="744"/>
      <c r="DV129" s="744"/>
      <c r="DW129" s="744"/>
      <c r="DX129" s="744"/>
      <c r="DY129" s="744"/>
      <c r="DZ129" s="744"/>
      <c r="EA129" s="744"/>
      <c r="EB129" s="744"/>
      <c r="EC129" s="744"/>
      <c r="ED129" s="744"/>
      <c r="EE129" s="744"/>
      <c r="EF129" s="744"/>
      <c r="EG129" s="744"/>
      <c r="EH129" s="744"/>
      <c r="EI129" s="744"/>
      <c r="EJ129" s="744"/>
      <c r="EK129" s="744"/>
      <c r="EL129" s="744"/>
      <c r="EM129" s="744"/>
      <c r="EN129" s="744"/>
      <c r="EO129" s="744"/>
      <c r="EP129" s="744"/>
      <c r="EQ129" s="744"/>
      <c r="ER129" s="744"/>
      <c r="ES129" s="744"/>
      <c r="ET129" s="744"/>
      <c r="EU129" s="744"/>
      <c r="EV129" s="744"/>
      <c r="EW129" s="744"/>
      <c r="EX129" s="744"/>
      <c r="EY129" s="744"/>
      <c r="EZ129" s="744"/>
      <c r="FA129" s="744"/>
      <c r="FB129" s="744"/>
      <c r="FC129" s="744"/>
      <c r="FD129" s="744"/>
      <c r="FE129" s="744"/>
      <c r="FF129" s="744"/>
      <c r="FG129" s="744"/>
      <c r="FH129" s="744"/>
      <c r="FI129" s="744"/>
      <c r="FJ129" s="744"/>
      <c r="FK129" s="744"/>
      <c r="FL129" s="744"/>
      <c r="FM129" s="744"/>
      <c r="FN129" s="744"/>
      <c r="FO129" s="744"/>
      <c r="FP129" s="744"/>
      <c r="FQ129" s="744"/>
      <c r="FR129" s="744"/>
      <c r="FS129" s="744"/>
      <c r="FT129" s="744"/>
      <c r="FU129" s="744"/>
      <c r="FV129" s="744"/>
      <c r="FW129" s="744"/>
      <c r="FX129" s="744"/>
      <c r="FY129" s="744"/>
      <c r="FZ129" s="744"/>
      <c r="GA129" s="744"/>
      <c r="GB129" s="744"/>
      <c r="GC129" s="744"/>
      <c r="GD129" s="744"/>
      <c r="GE129" s="744"/>
      <c r="GF129" s="744"/>
      <c r="GG129" s="744"/>
      <c r="GH129" s="744"/>
      <c r="GI129" s="744"/>
      <c r="GJ129" s="744"/>
      <c r="GK129" s="744"/>
      <c r="GL129" s="744"/>
      <c r="GM129" s="744"/>
      <c r="GN129" s="744"/>
      <c r="GO129" s="744"/>
      <c r="GP129" s="744"/>
      <c r="GQ129" s="744"/>
      <c r="GR129" s="744"/>
      <c r="GS129" s="744"/>
      <c r="GT129" s="744"/>
      <c r="GU129" s="744"/>
      <c r="GV129" s="744"/>
      <c r="GW129" s="744"/>
      <c r="GX129" s="744"/>
      <c r="GY129" s="744"/>
      <c r="GZ129" s="744"/>
      <c r="HA129" s="744"/>
      <c r="HB129" s="744"/>
      <c r="HC129" s="744"/>
      <c r="HD129" s="744"/>
      <c r="HE129" s="744"/>
      <c r="HF129" s="744"/>
      <c r="HG129" s="744"/>
      <c r="HH129" s="744"/>
      <c r="HI129" s="744"/>
      <c r="HJ129" s="744"/>
      <c r="HK129" s="744"/>
      <c r="HL129" s="744"/>
      <c r="HM129" s="744"/>
      <c r="HN129" s="744"/>
      <c r="HO129" s="744"/>
      <c r="HP129" s="744"/>
      <c r="HQ129" s="744"/>
      <c r="HR129" s="744"/>
      <c r="HS129" s="744"/>
      <c r="HT129" s="744"/>
      <c r="HU129" s="744"/>
      <c r="HV129" s="744"/>
      <c r="HW129" s="744"/>
      <c r="HX129" s="744"/>
      <c r="HY129" s="744"/>
      <c r="HZ129" s="744"/>
      <c r="IA129" s="744"/>
      <c r="IB129" s="744"/>
      <c r="IC129" s="744"/>
      <c r="ID129" s="744"/>
      <c r="IE129" s="744"/>
      <c r="IF129" s="744"/>
      <c r="IG129" s="744"/>
      <c r="IH129" s="744"/>
      <c r="II129" s="744"/>
      <c r="IJ129" s="744"/>
      <c r="IK129" s="744"/>
      <c r="IL129" s="744"/>
      <c r="IM129" s="744"/>
      <c r="IN129" s="744"/>
      <c r="IO129" s="744"/>
      <c r="IP129" s="744"/>
      <c r="IQ129" s="744"/>
      <c r="IR129" s="744"/>
      <c r="IS129" s="744"/>
    </row>
    <row r="130" s="73" customFormat="1" ht="15" spans="1:253">
      <c r="A130" s="734"/>
      <c r="B130" s="735" t="s">
        <v>240</v>
      </c>
      <c r="C130" s="736" t="s">
        <v>241</v>
      </c>
      <c r="D130" s="729"/>
      <c r="E130" s="733"/>
      <c r="F130" s="711"/>
      <c r="G130" s="711"/>
      <c r="H130" s="724"/>
      <c r="I130" s="724"/>
      <c r="J130" s="724"/>
      <c r="K130" s="724"/>
      <c r="L130" s="724"/>
      <c r="M130" s="724"/>
      <c r="N130" s="741"/>
      <c r="O130" s="741"/>
      <c r="P130" s="741"/>
      <c r="Q130" s="741"/>
      <c r="R130" s="741"/>
      <c r="S130" s="741"/>
      <c r="T130" s="741"/>
      <c r="U130" s="741"/>
      <c r="V130" s="741"/>
      <c r="W130" s="741"/>
      <c r="X130" s="741"/>
      <c r="Y130" s="741"/>
      <c r="Z130" s="741"/>
      <c r="AA130" s="741"/>
      <c r="AB130" s="741"/>
      <c r="AC130" s="741"/>
      <c r="AD130" s="741"/>
      <c r="AE130" s="741"/>
      <c r="AF130" s="741"/>
      <c r="AG130" s="741"/>
      <c r="AH130" s="741"/>
      <c r="AI130" s="741"/>
      <c r="AJ130" s="741"/>
      <c r="AK130" s="741"/>
      <c r="AL130" s="741"/>
      <c r="AM130" s="741"/>
      <c r="AN130" s="741"/>
      <c r="AO130" s="741"/>
      <c r="AP130" s="741"/>
      <c r="AQ130" s="741"/>
      <c r="AR130" s="741"/>
      <c r="AS130" s="741"/>
      <c r="AT130" s="741"/>
      <c r="AU130" s="741"/>
      <c r="AV130" s="741"/>
      <c r="AW130" s="741"/>
      <c r="AX130" s="741"/>
      <c r="AY130" s="741"/>
      <c r="AZ130" s="741"/>
      <c r="BA130" s="741"/>
      <c r="BB130" s="741"/>
      <c r="BC130" s="741"/>
      <c r="BD130" s="741"/>
      <c r="BE130" s="741"/>
      <c r="BF130" s="741"/>
      <c r="BG130" s="741"/>
      <c r="BH130" s="741"/>
      <c r="BI130" s="741"/>
      <c r="BJ130" s="741"/>
      <c r="BK130" s="741"/>
      <c r="BL130" s="741"/>
      <c r="BM130" s="741"/>
      <c r="BN130" s="741"/>
      <c r="BO130" s="741"/>
      <c r="BP130" s="741"/>
      <c r="BQ130" s="741"/>
      <c r="BR130" s="741"/>
      <c r="BS130" s="741"/>
      <c r="BT130" s="741"/>
      <c r="BU130" s="741"/>
      <c r="BV130" s="741"/>
      <c r="BW130" s="744"/>
      <c r="BX130" s="744"/>
      <c r="BY130" s="744"/>
      <c r="BZ130" s="744"/>
      <c r="CA130" s="744"/>
      <c r="CB130" s="744"/>
      <c r="CC130" s="744"/>
      <c r="CD130" s="744"/>
      <c r="CE130" s="744"/>
      <c r="CF130" s="744"/>
      <c r="CG130" s="744"/>
      <c r="CH130" s="744"/>
      <c r="CI130" s="744"/>
      <c r="CJ130" s="744"/>
      <c r="CK130" s="744"/>
      <c r="CL130" s="744"/>
      <c r="CM130" s="744"/>
      <c r="CN130" s="744"/>
      <c r="CO130" s="744"/>
      <c r="CP130" s="744"/>
      <c r="CQ130" s="744"/>
      <c r="CR130" s="744"/>
      <c r="CS130" s="744"/>
      <c r="CT130" s="744"/>
      <c r="CU130" s="744"/>
      <c r="CV130" s="744"/>
      <c r="CW130" s="744"/>
      <c r="CX130" s="744"/>
      <c r="CY130" s="744"/>
      <c r="CZ130" s="744"/>
      <c r="DA130" s="744"/>
      <c r="DB130" s="744"/>
      <c r="DC130" s="744"/>
      <c r="DD130" s="744"/>
      <c r="DE130" s="744"/>
      <c r="DF130" s="744"/>
      <c r="DG130" s="744"/>
      <c r="DH130" s="744"/>
      <c r="DI130" s="744"/>
      <c r="DJ130" s="744"/>
      <c r="DK130" s="744"/>
      <c r="DL130" s="744"/>
      <c r="DM130" s="744"/>
      <c r="DN130" s="744"/>
      <c r="DO130" s="744"/>
      <c r="DP130" s="744"/>
      <c r="DQ130" s="744"/>
      <c r="DR130" s="744"/>
      <c r="DS130" s="744"/>
      <c r="DT130" s="744"/>
      <c r="DU130" s="744"/>
      <c r="DV130" s="744"/>
      <c r="DW130" s="744"/>
      <c r="DX130" s="744"/>
      <c r="DY130" s="744"/>
      <c r="DZ130" s="744"/>
      <c r="EA130" s="744"/>
      <c r="EB130" s="744"/>
      <c r="EC130" s="744"/>
      <c r="ED130" s="744"/>
      <c r="EE130" s="744"/>
      <c r="EF130" s="744"/>
      <c r="EG130" s="744"/>
      <c r="EH130" s="744"/>
      <c r="EI130" s="744"/>
      <c r="EJ130" s="744"/>
      <c r="EK130" s="744"/>
      <c r="EL130" s="744"/>
      <c r="EM130" s="744"/>
      <c r="EN130" s="744"/>
      <c r="EO130" s="744"/>
      <c r="EP130" s="744"/>
      <c r="EQ130" s="744"/>
      <c r="ER130" s="744"/>
      <c r="ES130" s="744"/>
      <c r="ET130" s="744"/>
      <c r="EU130" s="744"/>
      <c r="EV130" s="744"/>
      <c r="EW130" s="744"/>
      <c r="EX130" s="744"/>
      <c r="EY130" s="744"/>
      <c r="EZ130" s="744"/>
      <c r="FA130" s="744"/>
      <c r="FB130" s="744"/>
      <c r="FC130" s="744"/>
      <c r="FD130" s="744"/>
      <c r="FE130" s="744"/>
      <c r="FF130" s="744"/>
      <c r="FG130" s="744"/>
      <c r="FH130" s="744"/>
      <c r="FI130" s="744"/>
      <c r="FJ130" s="744"/>
      <c r="FK130" s="744"/>
      <c r="FL130" s="744"/>
      <c r="FM130" s="744"/>
      <c r="FN130" s="744"/>
      <c r="FO130" s="744"/>
      <c r="FP130" s="744"/>
      <c r="FQ130" s="744"/>
      <c r="FR130" s="744"/>
      <c r="FS130" s="744"/>
      <c r="FT130" s="744"/>
      <c r="FU130" s="744"/>
      <c r="FV130" s="744"/>
      <c r="FW130" s="744"/>
      <c r="FX130" s="744"/>
      <c r="FY130" s="744"/>
      <c r="FZ130" s="744"/>
      <c r="GA130" s="744"/>
      <c r="GB130" s="744"/>
      <c r="GC130" s="744"/>
      <c r="GD130" s="744"/>
      <c r="GE130" s="744"/>
      <c r="GF130" s="744"/>
      <c r="GG130" s="744"/>
      <c r="GH130" s="744"/>
      <c r="GI130" s="744"/>
      <c r="GJ130" s="744"/>
      <c r="GK130" s="744"/>
      <c r="GL130" s="744"/>
      <c r="GM130" s="744"/>
      <c r="GN130" s="744"/>
      <c r="GO130" s="744"/>
      <c r="GP130" s="744"/>
      <c r="GQ130" s="744"/>
      <c r="GR130" s="744"/>
      <c r="GS130" s="744"/>
      <c r="GT130" s="744"/>
      <c r="GU130" s="744"/>
      <c r="GV130" s="744"/>
      <c r="GW130" s="744"/>
      <c r="GX130" s="744"/>
      <c r="GY130" s="744"/>
      <c r="GZ130" s="744"/>
      <c r="HA130" s="744"/>
      <c r="HB130" s="744"/>
      <c r="HC130" s="744"/>
      <c r="HD130" s="744"/>
      <c r="HE130" s="744"/>
      <c r="HF130" s="744"/>
      <c r="HG130" s="744"/>
      <c r="HH130" s="744"/>
      <c r="HI130" s="744"/>
      <c r="HJ130" s="744"/>
      <c r="HK130" s="744"/>
      <c r="HL130" s="744"/>
      <c r="HM130" s="744"/>
      <c r="HN130" s="744"/>
      <c r="HO130" s="744"/>
      <c r="HP130" s="744"/>
      <c r="HQ130" s="744"/>
      <c r="HR130" s="744"/>
      <c r="HS130" s="744"/>
      <c r="HT130" s="744"/>
      <c r="HU130" s="744"/>
      <c r="HV130" s="744"/>
      <c r="HW130" s="744"/>
      <c r="HX130" s="744"/>
      <c r="HY130" s="744"/>
      <c r="HZ130" s="744"/>
      <c r="IA130" s="744"/>
      <c r="IB130" s="744"/>
      <c r="IC130" s="744"/>
      <c r="ID130" s="744"/>
      <c r="IE130" s="744"/>
      <c r="IF130" s="744"/>
      <c r="IG130" s="744"/>
      <c r="IH130" s="744"/>
      <c r="II130" s="744"/>
      <c r="IJ130" s="744"/>
      <c r="IK130" s="744"/>
      <c r="IL130" s="744"/>
      <c r="IM130" s="744"/>
      <c r="IN130" s="744"/>
      <c r="IO130" s="744"/>
      <c r="IP130" s="744"/>
      <c r="IQ130" s="744"/>
      <c r="IR130" s="744"/>
      <c r="IS130" s="744"/>
    </row>
    <row r="131" s="73" customFormat="1" ht="15" spans="1:253">
      <c r="A131" s="709" t="s">
        <v>139</v>
      </c>
      <c r="B131" s="682" t="s">
        <v>242</v>
      </c>
      <c r="C131" s="732" t="s">
        <v>167</v>
      </c>
      <c r="D131" s="729" t="s">
        <v>56</v>
      </c>
      <c r="E131" s="733">
        <f>'PB VI - Memorial'!B169</f>
        <v>1.34</v>
      </c>
      <c r="F131" s="711">
        <f>F125</f>
        <v>393.85</v>
      </c>
      <c r="G131" s="711">
        <f t="shared" si="6"/>
        <v>527.76</v>
      </c>
      <c r="H131" s="724"/>
      <c r="I131" s="724"/>
      <c r="J131" s="724"/>
      <c r="K131" s="724"/>
      <c r="L131" s="724"/>
      <c r="M131" s="724"/>
      <c r="N131" s="741"/>
      <c r="O131" s="741"/>
      <c r="P131" s="741"/>
      <c r="Q131" s="741"/>
      <c r="R131" s="741"/>
      <c r="S131" s="741"/>
      <c r="T131" s="741"/>
      <c r="U131" s="741"/>
      <c r="V131" s="741"/>
      <c r="W131" s="741"/>
      <c r="X131" s="741"/>
      <c r="Y131" s="741"/>
      <c r="Z131" s="741"/>
      <c r="AA131" s="741"/>
      <c r="AB131" s="741"/>
      <c r="AC131" s="741"/>
      <c r="AD131" s="741"/>
      <c r="AE131" s="741"/>
      <c r="AF131" s="741"/>
      <c r="AG131" s="741"/>
      <c r="AH131" s="741"/>
      <c r="AI131" s="741"/>
      <c r="AJ131" s="741"/>
      <c r="AK131" s="741"/>
      <c r="AL131" s="741"/>
      <c r="AM131" s="741"/>
      <c r="AN131" s="741"/>
      <c r="AO131" s="741"/>
      <c r="AP131" s="741"/>
      <c r="AQ131" s="741"/>
      <c r="AR131" s="741"/>
      <c r="AS131" s="741"/>
      <c r="AT131" s="741"/>
      <c r="AU131" s="741"/>
      <c r="AV131" s="741"/>
      <c r="AW131" s="741"/>
      <c r="AX131" s="741"/>
      <c r="AY131" s="741"/>
      <c r="AZ131" s="741"/>
      <c r="BA131" s="741"/>
      <c r="BB131" s="741"/>
      <c r="BC131" s="741"/>
      <c r="BD131" s="741"/>
      <c r="BE131" s="741"/>
      <c r="BF131" s="741"/>
      <c r="BG131" s="741"/>
      <c r="BH131" s="741"/>
      <c r="BI131" s="741"/>
      <c r="BJ131" s="741"/>
      <c r="BK131" s="741"/>
      <c r="BL131" s="741"/>
      <c r="BM131" s="741"/>
      <c r="BN131" s="741"/>
      <c r="BO131" s="741"/>
      <c r="BP131" s="741"/>
      <c r="BQ131" s="741"/>
      <c r="BR131" s="741"/>
      <c r="BS131" s="741"/>
      <c r="BT131" s="741"/>
      <c r="BU131" s="741"/>
      <c r="BV131" s="741"/>
      <c r="BW131" s="744"/>
      <c r="BX131" s="744"/>
      <c r="BY131" s="744"/>
      <c r="BZ131" s="744"/>
      <c r="CA131" s="744"/>
      <c r="CB131" s="744"/>
      <c r="CC131" s="744"/>
      <c r="CD131" s="744"/>
      <c r="CE131" s="744"/>
      <c r="CF131" s="744"/>
      <c r="CG131" s="744"/>
      <c r="CH131" s="744"/>
      <c r="CI131" s="744"/>
      <c r="CJ131" s="744"/>
      <c r="CK131" s="744"/>
      <c r="CL131" s="744"/>
      <c r="CM131" s="744"/>
      <c r="CN131" s="744"/>
      <c r="CO131" s="744"/>
      <c r="CP131" s="744"/>
      <c r="CQ131" s="744"/>
      <c r="CR131" s="744"/>
      <c r="CS131" s="744"/>
      <c r="CT131" s="744"/>
      <c r="CU131" s="744"/>
      <c r="CV131" s="744"/>
      <c r="CW131" s="744"/>
      <c r="CX131" s="744"/>
      <c r="CY131" s="744"/>
      <c r="CZ131" s="744"/>
      <c r="DA131" s="744"/>
      <c r="DB131" s="744"/>
      <c r="DC131" s="744"/>
      <c r="DD131" s="744"/>
      <c r="DE131" s="744"/>
      <c r="DF131" s="744"/>
      <c r="DG131" s="744"/>
      <c r="DH131" s="744"/>
      <c r="DI131" s="744"/>
      <c r="DJ131" s="744"/>
      <c r="DK131" s="744"/>
      <c r="DL131" s="744"/>
      <c r="DM131" s="744"/>
      <c r="DN131" s="744"/>
      <c r="DO131" s="744"/>
      <c r="DP131" s="744"/>
      <c r="DQ131" s="744"/>
      <c r="DR131" s="744"/>
      <c r="DS131" s="744"/>
      <c r="DT131" s="744"/>
      <c r="DU131" s="744"/>
      <c r="DV131" s="744"/>
      <c r="DW131" s="744"/>
      <c r="DX131" s="744"/>
      <c r="DY131" s="744"/>
      <c r="DZ131" s="744"/>
      <c r="EA131" s="744"/>
      <c r="EB131" s="744"/>
      <c r="EC131" s="744"/>
      <c r="ED131" s="744"/>
      <c r="EE131" s="744"/>
      <c r="EF131" s="744"/>
      <c r="EG131" s="744"/>
      <c r="EH131" s="744"/>
      <c r="EI131" s="744"/>
      <c r="EJ131" s="744"/>
      <c r="EK131" s="744"/>
      <c r="EL131" s="744"/>
      <c r="EM131" s="744"/>
      <c r="EN131" s="744"/>
      <c r="EO131" s="744"/>
      <c r="EP131" s="744"/>
      <c r="EQ131" s="744"/>
      <c r="ER131" s="744"/>
      <c r="ES131" s="744"/>
      <c r="ET131" s="744"/>
      <c r="EU131" s="744"/>
      <c r="EV131" s="744"/>
      <c r="EW131" s="744"/>
      <c r="EX131" s="744"/>
      <c r="EY131" s="744"/>
      <c r="EZ131" s="744"/>
      <c r="FA131" s="744"/>
      <c r="FB131" s="744"/>
      <c r="FC131" s="744"/>
      <c r="FD131" s="744"/>
      <c r="FE131" s="744"/>
      <c r="FF131" s="744"/>
      <c r="FG131" s="744"/>
      <c r="FH131" s="744"/>
      <c r="FI131" s="744"/>
      <c r="FJ131" s="744"/>
      <c r="FK131" s="744"/>
      <c r="FL131" s="744"/>
      <c r="FM131" s="744"/>
      <c r="FN131" s="744"/>
      <c r="FO131" s="744"/>
      <c r="FP131" s="744"/>
      <c r="FQ131" s="744"/>
      <c r="FR131" s="744"/>
      <c r="FS131" s="744"/>
      <c r="FT131" s="744"/>
      <c r="FU131" s="744"/>
      <c r="FV131" s="744"/>
      <c r="FW131" s="744"/>
      <c r="FX131" s="744"/>
      <c r="FY131" s="744"/>
      <c r="FZ131" s="744"/>
      <c r="GA131" s="744"/>
      <c r="GB131" s="744"/>
      <c r="GC131" s="744"/>
      <c r="GD131" s="744"/>
      <c r="GE131" s="744"/>
      <c r="GF131" s="744"/>
      <c r="GG131" s="744"/>
      <c r="GH131" s="744"/>
      <c r="GI131" s="744"/>
      <c r="GJ131" s="744"/>
      <c r="GK131" s="744"/>
      <c r="GL131" s="744"/>
      <c r="GM131" s="744"/>
      <c r="GN131" s="744"/>
      <c r="GO131" s="744"/>
      <c r="GP131" s="744"/>
      <c r="GQ131" s="744"/>
      <c r="GR131" s="744"/>
      <c r="GS131" s="744"/>
      <c r="GT131" s="744"/>
      <c r="GU131" s="744"/>
      <c r="GV131" s="744"/>
      <c r="GW131" s="744"/>
      <c r="GX131" s="744"/>
      <c r="GY131" s="744"/>
      <c r="GZ131" s="744"/>
      <c r="HA131" s="744"/>
      <c r="HB131" s="744"/>
      <c r="HC131" s="744"/>
      <c r="HD131" s="744"/>
      <c r="HE131" s="744"/>
      <c r="HF131" s="744"/>
      <c r="HG131" s="744"/>
      <c r="HH131" s="744"/>
      <c r="HI131" s="744"/>
      <c r="HJ131" s="744"/>
      <c r="HK131" s="744"/>
      <c r="HL131" s="744"/>
      <c r="HM131" s="744"/>
      <c r="HN131" s="744"/>
      <c r="HO131" s="744"/>
      <c r="HP131" s="744"/>
      <c r="HQ131" s="744"/>
      <c r="HR131" s="744"/>
      <c r="HS131" s="744"/>
      <c r="HT131" s="744"/>
      <c r="HU131" s="744"/>
      <c r="HV131" s="744"/>
      <c r="HW131" s="744"/>
      <c r="HX131" s="744"/>
      <c r="HY131" s="744"/>
      <c r="HZ131" s="744"/>
      <c r="IA131" s="744"/>
      <c r="IB131" s="744"/>
      <c r="IC131" s="744"/>
      <c r="ID131" s="744"/>
      <c r="IE131" s="744"/>
      <c r="IF131" s="744"/>
      <c r="IG131" s="744"/>
      <c r="IH131" s="744"/>
      <c r="II131" s="744"/>
      <c r="IJ131" s="744"/>
      <c r="IK131" s="744"/>
      <c r="IL131" s="744"/>
      <c r="IM131" s="744"/>
      <c r="IN131" s="744"/>
      <c r="IO131" s="744"/>
      <c r="IP131" s="744"/>
      <c r="IQ131" s="744"/>
      <c r="IR131" s="744"/>
      <c r="IS131" s="744"/>
    </row>
    <row r="132" s="73" customFormat="1" ht="15" spans="1:253">
      <c r="A132" s="709" t="s">
        <v>90</v>
      </c>
      <c r="B132" s="682" t="s">
        <v>243</v>
      </c>
      <c r="C132" s="732" t="s">
        <v>143</v>
      </c>
      <c r="D132" s="729" t="s">
        <v>56</v>
      </c>
      <c r="E132" s="733">
        <f>E131</f>
        <v>1.34</v>
      </c>
      <c r="F132" s="711">
        <f>F126</f>
        <v>143.94</v>
      </c>
      <c r="G132" s="711">
        <f t="shared" si="6"/>
        <v>192.88</v>
      </c>
      <c r="H132" s="724"/>
      <c r="I132" s="724"/>
      <c r="J132" s="724"/>
      <c r="K132" s="724"/>
      <c r="L132" s="724"/>
      <c r="M132" s="724"/>
      <c r="N132" s="741"/>
      <c r="O132" s="741"/>
      <c r="P132" s="741"/>
      <c r="Q132" s="741"/>
      <c r="R132" s="741"/>
      <c r="S132" s="741"/>
      <c r="T132" s="741"/>
      <c r="U132" s="741"/>
      <c r="V132" s="741"/>
      <c r="W132" s="741"/>
      <c r="X132" s="741"/>
      <c r="Y132" s="741"/>
      <c r="Z132" s="741"/>
      <c r="AA132" s="741"/>
      <c r="AB132" s="741"/>
      <c r="AC132" s="741"/>
      <c r="AD132" s="741"/>
      <c r="AE132" s="741"/>
      <c r="AF132" s="741"/>
      <c r="AG132" s="741"/>
      <c r="AH132" s="741"/>
      <c r="AI132" s="741"/>
      <c r="AJ132" s="741"/>
      <c r="AK132" s="741"/>
      <c r="AL132" s="741"/>
      <c r="AM132" s="741"/>
      <c r="AN132" s="741"/>
      <c r="AO132" s="741"/>
      <c r="AP132" s="741"/>
      <c r="AQ132" s="741"/>
      <c r="AR132" s="741"/>
      <c r="AS132" s="741"/>
      <c r="AT132" s="741"/>
      <c r="AU132" s="741"/>
      <c r="AV132" s="741"/>
      <c r="AW132" s="741"/>
      <c r="AX132" s="741"/>
      <c r="AY132" s="741"/>
      <c r="AZ132" s="741"/>
      <c r="BA132" s="741"/>
      <c r="BB132" s="741"/>
      <c r="BC132" s="741"/>
      <c r="BD132" s="741"/>
      <c r="BE132" s="741"/>
      <c r="BF132" s="741"/>
      <c r="BG132" s="741"/>
      <c r="BH132" s="741"/>
      <c r="BI132" s="741"/>
      <c r="BJ132" s="741"/>
      <c r="BK132" s="741"/>
      <c r="BL132" s="741"/>
      <c r="BM132" s="741"/>
      <c r="BN132" s="741"/>
      <c r="BO132" s="741"/>
      <c r="BP132" s="741"/>
      <c r="BQ132" s="741"/>
      <c r="BR132" s="741"/>
      <c r="BS132" s="741"/>
      <c r="BT132" s="741"/>
      <c r="BU132" s="741"/>
      <c r="BV132" s="741"/>
      <c r="BW132" s="744"/>
      <c r="BX132" s="744"/>
      <c r="BY132" s="744"/>
      <c r="BZ132" s="744"/>
      <c r="CA132" s="744"/>
      <c r="CB132" s="744"/>
      <c r="CC132" s="744"/>
      <c r="CD132" s="744"/>
      <c r="CE132" s="744"/>
      <c r="CF132" s="744"/>
      <c r="CG132" s="744"/>
      <c r="CH132" s="744"/>
      <c r="CI132" s="744"/>
      <c r="CJ132" s="744"/>
      <c r="CK132" s="744"/>
      <c r="CL132" s="744"/>
      <c r="CM132" s="744"/>
      <c r="CN132" s="744"/>
      <c r="CO132" s="744"/>
      <c r="CP132" s="744"/>
      <c r="CQ132" s="744"/>
      <c r="CR132" s="744"/>
      <c r="CS132" s="744"/>
      <c r="CT132" s="744"/>
      <c r="CU132" s="744"/>
      <c r="CV132" s="744"/>
      <c r="CW132" s="744"/>
      <c r="CX132" s="744"/>
      <c r="CY132" s="744"/>
      <c r="CZ132" s="744"/>
      <c r="DA132" s="744"/>
      <c r="DB132" s="744"/>
      <c r="DC132" s="744"/>
      <c r="DD132" s="744"/>
      <c r="DE132" s="744"/>
      <c r="DF132" s="744"/>
      <c r="DG132" s="744"/>
      <c r="DH132" s="744"/>
      <c r="DI132" s="744"/>
      <c r="DJ132" s="744"/>
      <c r="DK132" s="744"/>
      <c r="DL132" s="744"/>
      <c r="DM132" s="744"/>
      <c r="DN132" s="744"/>
      <c r="DO132" s="744"/>
      <c r="DP132" s="744"/>
      <c r="DQ132" s="744"/>
      <c r="DR132" s="744"/>
      <c r="DS132" s="744"/>
      <c r="DT132" s="744"/>
      <c r="DU132" s="744"/>
      <c r="DV132" s="744"/>
      <c r="DW132" s="744"/>
      <c r="DX132" s="744"/>
      <c r="DY132" s="744"/>
      <c r="DZ132" s="744"/>
      <c r="EA132" s="744"/>
      <c r="EB132" s="744"/>
      <c r="EC132" s="744"/>
      <c r="ED132" s="744"/>
      <c r="EE132" s="744"/>
      <c r="EF132" s="744"/>
      <c r="EG132" s="744"/>
      <c r="EH132" s="744"/>
      <c r="EI132" s="744"/>
      <c r="EJ132" s="744"/>
      <c r="EK132" s="744"/>
      <c r="EL132" s="744"/>
      <c r="EM132" s="744"/>
      <c r="EN132" s="744"/>
      <c r="EO132" s="744"/>
      <c r="EP132" s="744"/>
      <c r="EQ132" s="744"/>
      <c r="ER132" s="744"/>
      <c r="ES132" s="744"/>
      <c r="ET132" s="744"/>
      <c r="EU132" s="744"/>
      <c r="EV132" s="744"/>
      <c r="EW132" s="744"/>
      <c r="EX132" s="744"/>
      <c r="EY132" s="744"/>
      <c r="EZ132" s="744"/>
      <c r="FA132" s="744"/>
      <c r="FB132" s="744"/>
      <c r="FC132" s="744"/>
      <c r="FD132" s="744"/>
      <c r="FE132" s="744"/>
      <c r="FF132" s="744"/>
      <c r="FG132" s="744"/>
      <c r="FH132" s="744"/>
      <c r="FI132" s="744"/>
      <c r="FJ132" s="744"/>
      <c r="FK132" s="744"/>
      <c r="FL132" s="744"/>
      <c r="FM132" s="744"/>
      <c r="FN132" s="744"/>
      <c r="FO132" s="744"/>
      <c r="FP132" s="744"/>
      <c r="FQ132" s="744"/>
      <c r="FR132" s="744"/>
      <c r="FS132" s="744"/>
      <c r="FT132" s="744"/>
      <c r="FU132" s="744"/>
      <c r="FV132" s="744"/>
      <c r="FW132" s="744"/>
      <c r="FX132" s="744"/>
      <c r="FY132" s="744"/>
      <c r="FZ132" s="744"/>
      <c r="GA132" s="744"/>
      <c r="GB132" s="744"/>
      <c r="GC132" s="744"/>
      <c r="GD132" s="744"/>
      <c r="GE132" s="744"/>
      <c r="GF132" s="744"/>
      <c r="GG132" s="744"/>
      <c r="GH132" s="744"/>
      <c r="GI132" s="744"/>
      <c r="GJ132" s="744"/>
      <c r="GK132" s="744"/>
      <c r="GL132" s="744"/>
      <c r="GM132" s="744"/>
      <c r="GN132" s="744"/>
      <c r="GO132" s="744"/>
      <c r="GP132" s="744"/>
      <c r="GQ132" s="744"/>
      <c r="GR132" s="744"/>
      <c r="GS132" s="744"/>
      <c r="GT132" s="744"/>
      <c r="GU132" s="744"/>
      <c r="GV132" s="744"/>
      <c r="GW132" s="744"/>
      <c r="GX132" s="744"/>
      <c r="GY132" s="744"/>
      <c r="GZ132" s="744"/>
      <c r="HA132" s="744"/>
      <c r="HB132" s="744"/>
      <c r="HC132" s="744"/>
      <c r="HD132" s="744"/>
      <c r="HE132" s="744"/>
      <c r="HF132" s="744"/>
      <c r="HG132" s="744"/>
      <c r="HH132" s="744"/>
      <c r="HI132" s="744"/>
      <c r="HJ132" s="744"/>
      <c r="HK132" s="744"/>
      <c r="HL132" s="744"/>
      <c r="HM132" s="744"/>
      <c r="HN132" s="744"/>
      <c r="HO132" s="744"/>
      <c r="HP132" s="744"/>
      <c r="HQ132" s="744"/>
      <c r="HR132" s="744"/>
      <c r="HS132" s="744"/>
      <c r="HT132" s="744"/>
      <c r="HU132" s="744"/>
      <c r="HV132" s="744"/>
      <c r="HW132" s="744"/>
      <c r="HX132" s="744"/>
      <c r="HY132" s="744"/>
      <c r="HZ132" s="744"/>
      <c r="IA132" s="744"/>
      <c r="IB132" s="744"/>
      <c r="IC132" s="744"/>
      <c r="ID132" s="744"/>
      <c r="IE132" s="744"/>
      <c r="IF132" s="744"/>
      <c r="IG132" s="744"/>
      <c r="IH132" s="744"/>
      <c r="II132" s="744"/>
      <c r="IJ132" s="744"/>
      <c r="IK132" s="744"/>
      <c r="IL132" s="744"/>
      <c r="IM132" s="744"/>
      <c r="IN132" s="744"/>
      <c r="IO132" s="744"/>
      <c r="IP132" s="744"/>
      <c r="IQ132" s="744"/>
      <c r="IR132" s="744"/>
      <c r="IS132" s="744"/>
    </row>
    <row r="133" s="73" customFormat="1" ht="15" spans="1:253">
      <c r="A133" s="709" t="s">
        <v>213</v>
      </c>
      <c r="B133" s="682" t="s">
        <v>244</v>
      </c>
      <c r="C133" s="740" t="s">
        <v>193</v>
      </c>
      <c r="D133" s="729" t="s">
        <v>17</v>
      </c>
      <c r="E133" s="733">
        <f>'PB VI - Memorial'!C169</f>
        <v>13.81</v>
      </c>
      <c r="F133" s="711">
        <v>31.58</v>
      </c>
      <c r="G133" s="711">
        <f t="shared" si="6"/>
        <v>436.12</v>
      </c>
      <c r="H133" s="724"/>
      <c r="I133" s="724"/>
      <c r="J133" s="724"/>
      <c r="K133" s="724"/>
      <c r="L133" s="724"/>
      <c r="M133" s="724"/>
      <c r="N133" s="741"/>
      <c r="O133" s="741"/>
      <c r="P133" s="741"/>
      <c r="Q133" s="741"/>
      <c r="R133" s="741"/>
      <c r="S133" s="741"/>
      <c r="T133" s="741"/>
      <c r="U133" s="741"/>
      <c r="V133" s="741"/>
      <c r="W133" s="741"/>
      <c r="X133" s="741"/>
      <c r="Y133" s="741"/>
      <c r="Z133" s="741"/>
      <c r="AA133" s="741"/>
      <c r="AB133" s="741"/>
      <c r="AC133" s="741"/>
      <c r="AD133" s="741"/>
      <c r="AE133" s="741"/>
      <c r="AF133" s="741"/>
      <c r="AG133" s="741"/>
      <c r="AH133" s="741"/>
      <c r="AI133" s="741"/>
      <c r="AJ133" s="741"/>
      <c r="AK133" s="741"/>
      <c r="AL133" s="741"/>
      <c r="AM133" s="741"/>
      <c r="AN133" s="741"/>
      <c r="AO133" s="741"/>
      <c r="AP133" s="741"/>
      <c r="AQ133" s="741"/>
      <c r="AR133" s="741"/>
      <c r="AS133" s="741"/>
      <c r="AT133" s="741"/>
      <c r="AU133" s="741"/>
      <c r="AV133" s="741"/>
      <c r="AW133" s="741"/>
      <c r="AX133" s="741"/>
      <c r="AY133" s="741"/>
      <c r="AZ133" s="741"/>
      <c r="BA133" s="741"/>
      <c r="BB133" s="741"/>
      <c r="BC133" s="741"/>
      <c r="BD133" s="741"/>
      <c r="BE133" s="741"/>
      <c r="BF133" s="741"/>
      <c r="BG133" s="741"/>
      <c r="BH133" s="741"/>
      <c r="BI133" s="741"/>
      <c r="BJ133" s="741"/>
      <c r="BK133" s="741"/>
      <c r="BL133" s="741"/>
      <c r="BM133" s="741"/>
      <c r="BN133" s="741"/>
      <c r="BO133" s="741"/>
      <c r="BP133" s="741"/>
      <c r="BQ133" s="741"/>
      <c r="BR133" s="741"/>
      <c r="BS133" s="741"/>
      <c r="BT133" s="741"/>
      <c r="BU133" s="741"/>
      <c r="BV133" s="741"/>
      <c r="BW133" s="744"/>
      <c r="BX133" s="744"/>
      <c r="BY133" s="744"/>
      <c r="BZ133" s="744"/>
      <c r="CA133" s="744"/>
      <c r="CB133" s="744"/>
      <c r="CC133" s="744"/>
      <c r="CD133" s="744"/>
      <c r="CE133" s="744"/>
      <c r="CF133" s="744"/>
      <c r="CG133" s="744"/>
      <c r="CH133" s="744"/>
      <c r="CI133" s="744"/>
      <c r="CJ133" s="744"/>
      <c r="CK133" s="744"/>
      <c r="CL133" s="744"/>
      <c r="CM133" s="744"/>
      <c r="CN133" s="744"/>
      <c r="CO133" s="744"/>
      <c r="CP133" s="744"/>
      <c r="CQ133" s="744"/>
      <c r="CR133" s="744"/>
      <c r="CS133" s="744"/>
      <c r="CT133" s="744"/>
      <c r="CU133" s="744"/>
      <c r="CV133" s="744"/>
      <c r="CW133" s="744"/>
      <c r="CX133" s="744"/>
      <c r="CY133" s="744"/>
      <c r="CZ133" s="744"/>
      <c r="DA133" s="744"/>
      <c r="DB133" s="744"/>
      <c r="DC133" s="744"/>
      <c r="DD133" s="744"/>
      <c r="DE133" s="744"/>
      <c r="DF133" s="744"/>
      <c r="DG133" s="744"/>
      <c r="DH133" s="744"/>
      <c r="DI133" s="744"/>
      <c r="DJ133" s="744"/>
      <c r="DK133" s="744"/>
      <c r="DL133" s="744"/>
      <c r="DM133" s="744"/>
      <c r="DN133" s="744"/>
      <c r="DO133" s="744"/>
      <c r="DP133" s="744"/>
      <c r="DQ133" s="744"/>
      <c r="DR133" s="744"/>
      <c r="DS133" s="744"/>
      <c r="DT133" s="744"/>
      <c r="DU133" s="744"/>
      <c r="DV133" s="744"/>
      <c r="DW133" s="744"/>
      <c r="DX133" s="744"/>
      <c r="DY133" s="744"/>
      <c r="DZ133" s="744"/>
      <c r="EA133" s="744"/>
      <c r="EB133" s="744"/>
      <c r="EC133" s="744"/>
      <c r="ED133" s="744"/>
      <c r="EE133" s="744"/>
      <c r="EF133" s="744"/>
      <c r="EG133" s="744"/>
      <c r="EH133" s="744"/>
      <c r="EI133" s="744"/>
      <c r="EJ133" s="744"/>
      <c r="EK133" s="744"/>
      <c r="EL133" s="744"/>
      <c r="EM133" s="744"/>
      <c r="EN133" s="744"/>
      <c r="EO133" s="744"/>
      <c r="EP133" s="744"/>
      <c r="EQ133" s="744"/>
      <c r="ER133" s="744"/>
      <c r="ES133" s="744"/>
      <c r="ET133" s="744"/>
      <c r="EU133" s="744"/>
      <c r="EV133" s="744"/>
      <c r="EW133" s="744"/>
      <c r="EX133" s="744"/>
      <c r="EY133" s="744"/>
      <c r="EZ133" s="744"/>
      <c r="FA133" s="744"/>
      <c r="FB133" s="744"/>
      <c r="FC133" s="744"/>
      <c r="FD133" s="744"/>
      <c r="FE133" s="744"/>
      <c r="FF133" s="744"/>
      <c r="FG133" s="744"/>
      <c r="FH133" s="744"/>
      <c r="FI133" s="744"/>
      <c r="FJ133" s="744"/>
      <c r="FK133" s="744"/>
      <c r="FL133" s="744"/>
      <c r="FM133" s="744"/>
      <c r="FN133" s="744"/>
      <c r="FO133" s="744"/>
      <c r="FP133" s="744"/>
      <c r="FQ133" s="744"/>
      <c r="FR133" s="744"/>
      <c r="FS133" s="744"/>
      <c r="FT133" s="744"/>
      <c r="FU133" s="744"/>
      <c r="FV133" s="744"/>
      <c r="FW133" s="744"/>
      <c r="FX133" s="744"/>
      <c r="FY133" s="744"/>
      <c r="FZ133" s="744"/>
      <c r="GA133" s="744"/>
      <c r="GB133" s="744"/>
      <c r="GC133" s="744"/>
      <c r="GD133" s="744"/>
      <c r="GE133" s="744"/>
      <c r="GF133" s="744"/>
      <c r="GG133" s="744"/>
      <c r="GH133" s="744"/>
      <c r="GI133" s="744"/>
      <c r="GJ133" s="744"/>
      <c r="GK133" s="744"/>
      <c r="GL133" s="744"/>
      <c r="GM133" s="744"/>
      <c r="GN133" s="744"/>
      <c r="GO133" s="744"/>
      <c r="GP133" s="744"/>
      <c r="GQ133" s="744"/>
      <c r="GR133" s="744"/>
      <c r="GS133" s="744"/>
      <c r="GT133" s="744"/>
      <c r="GU133" s="744"/>
      <c r="GV133" s="744"/>
      <c r="GW133" s="744"/>
      <c r="GX133" s="744"/>
      <c r="GY133" s="744"/>
      <c r="GZ133" s="744"/>
      <c r="HA133" s="744"/>
      <c r="HB133" s="744"/>
      <c r="HC133" s="744"/>
      <c r="HD133" s="744"/>
      <c r="HE133" s="744"/>
      <c r="HF133" s="744"/>
      <c r="HG133" s="744"/>
      <c r="HH133" s="744"/>
      <c r="HI133" s="744"/>
      <c r="HJ133" s="744"/>
      <c r="HK133" s="744"/>
      <c r="HL133" s="744"/>
      <c r="HM133" s="744"/>
      <c r="HN133" s="744"/>
      <c r="HO133" s="744"/>
      <c r="HP133" s="744"/>
      <c r="HQ133" s="744"/>
      <c r="HR133" s="744"/>
      <c r="HS133" s="744"/>
      <c r="HT133" s="744"/>
      <c r="HU133" s="744"/>
      <c r="HV133" s="744"/>
      <c r="HW133" s="744"/>
      <c r="HX133" s="744"/>
      <c r="HY133" s="744"/>
      <c r="HZ133" s="744"/>
      <c r="IA133" s="744"/>
      <c r="IB133" s="744"/>
      <c r="IC133" s="744"/>
      <c r="ID133" s="744"/>
      <c r="IE133" s="744"/>
      <c r="IF133" s="744"/>
      <c r="IG133" s="744"/>
      <c r="IH133" s="744"/>
      <c r="II133" s="744"/>
      <c r="IJ133" s="744"/>
      <c r="IK133" s="744"/>
      <c r="IL133" s="744"/>
      <c r="IM133" s="744"/>
      <c r="IN133" s="744"/>
      <c r="IO133" s="744"/>
      <c r="IP133" s="744"/>
      <c r="IQ133" s="744"/>
      <c r="IR133" s="744"/>
      <c r="IS133" s="744"/>
    </row>
    <row r="134" s="73" customFormat="1" ht="15" spans="1:253">
      <c r="A134" s="709" t="s">
        <v>215</v>
      </c>
      <c r="B134" s="682" t="s">
        <v>245</v>
      </c>
      <c r="C134" s="732" t="s">
        <v>148</v>
      </c>
      <c r="D134" s="729" t="s">
        <v>95</v>
      </c>
      <c r="E134" s="733">
        <f>'PB VI - Memorial'!B171</f>
        <v>18.18</v>
      </c>
      <c r="F134" s="711">
        <v>8.53</v>
      </c>
      <c r="G134" s="711">
        <f t="shared" ref="G134" si="13">ROUND(E134*F134,2)</f>
        <v>155.08</v>
      </c>
      <c r="H134" s="724"/>
      <c r="I134" s="724"/>
      <c r="J134" s="724"/>
      <c r="K134" s="724"/>
      <c r="L134" s="724"/>
      <c r="M134" s="724"/>
      <c r="N134" s="741"/>
      <c r="O134" s="741"/>
      <c r="P134" s="741"/>
      <c r="Q134" s="741"/>
      <c r="R134" s="741"/>
      <c r="S134" s="741"/>
      <c r="T134" s="741"/>
      <c r="U134" s="741"/>
      <c r="V134" s="741"/>
      <c r="W134" s="741"/>
      <c r="X134" s="741"/>
      <c r="Y134" s="741"/>
      <c r="Z134" s="741"/>
      <c r="AA134" s="741"/>
      <c r="AB134" s="741"/>
      <c r="AC134" s="741"/>
      <c r="AD134" s="741"/>
      <c r="AE134" s="741"/>
      <c r="AF134" s="741"/>
      <c r="AG134" s="741"/>
      <c r="AH134" s="741"/>
      <c r="AI134" s="741"/>
      <c r="AJ134" s="741"/>
      <c r="AK134" s="741"/>
      <c r="AL134" s="741"/>
      <c r="AM134" s="741"/>
      <c r="AN134" s="741"/>
      <c r="AO134" s="741"/>
      <c r="AP134" s="741"/>
      <c r="AQ134" s="741"/>
      <c r="AR134" s="741"/>
      <c r="AS134" s="741"/>
      <c r="AT134" s="741"/>
      <c r="AU134" s="741"/>
      <c r="AV134" s="741"/>
      <c r="AW134" s="741"/>
      <c r="AX134" s="741"/>
      <c r="AY134" s="741"/>
      <c r="AZ134" s="741"/>
      <c r="BA134" s="741"/>
      <c r="BB134" s="741"/>
      <c r="BC134" s="741"/>
      <c r="BD134" s="741"/>
      <c r="BE134" s="741"/>
      <c r="BF134" s="741"/>
      <c r="BG134" s="741"/>
      <c r="BH134" s="741"/>
      <c r="BI134" s="741"/>
      <c r="BJ134" s="741"/>
      <c r="BK134" s="741"/>
      <c r="BL134" s="741"/>
      <c r="BM134" s="741"/>
      <c r="BN134" s="741"/>
      <c r="BO134" s="741"/>
      <c r="BP134" s="741"/>
      <c r="BQ134" s="741"/>
      <c r="BR134" s="741"/>
      <c r="BS134" s="741"/>
      <c r="BT134" s="741"/>
      <c r="BU134" s="741"/>
      <c r="BV134" s="741"/>
      <c r="BW134" s="744"/>
      <c r="BX134" s="744"/>
      <c r="BY134" s="744"/>
      <c r="BZ134" s="744"/>
      <c r="CA134" s="744"/>
      <c r="CB134" s="744"/>
      <c r="CC134" s="744"/>
      <c r="CD134" s="744"/>
      <c r="CE134" s="744"/>
      <c r="CF134" s="744"/>
      <c r="CG134" s="744"/>
      <c r="CH134" s="744"/>
      <c r="CI134" s="744"/>
      <c r="CJ134" s="744"/>
      <c r="CK134" s="744"/>
      <c r="CL134" s="744"/>
      <c r="CM134" s="744"/>
      <c r="CN134" s="744"/>
      <c r="CO134" s="744"/>
      <c r="CP134" s="744"/>
      <c r="CQ134" s="744"/>
      <c r="CR134" s="744"/>
      <c r="CS134" s="744"/>
      <c r="CT134" s="744"/>
      <c r="CU134" s="744"/>
      <c r="CV134" s="744"/>
      <c r="CW134" s="744"/>
      <c r="CX134" s="744"/>
      <c r="CY134" s="744"/>
      <c r="CZ134" s="744"/>
      <c r="DA134" s="744"/>
      <c r="DB134" s="744"/>
      <c r="DC134" s="744"/>
      <c r="DD134" s="744"/>
      <c r="DE134" s="744"/>
      <c r="DF134" s="744"/>
      <c r="DG134" s="744"/>
      <c r="DH134" s="744"/>
      <c r="DI134" s="744"/>
      <c r="DJ134" s="744"/>
      <c r="DK134" s="744"/>
      <c r="DL134" s="744"/>
      <c r="DM134" s="744"/>
      <c r="DN134" s="744"/>
      <c r="DO134" s="744"/>
      <c r="DP134" s="744"/>
      <c r="DQ134" s="744"/>
      <c r="DR134" s="744"/>
      <c r="DS134" s="744"/>
      <c r="DT134" s="744"/>
      <c r="DU134" s="744"/>
      <c r="DV134" s="744"/>
      <c r="DW134" s="744"/>
      <c r="DX134" s="744"/>
      <c r="DY134" s="744"/>
      <c r="DZ134" s="744"/>
      <c r="EA134" s="744"/>
      <c r="EB134" s="744"/>
      <c r="EC134" s="744"/>
      <c r="ED134" s="744"/>
      <c r="EE134" s="744"/>
      <c r="EF134" s="744"/>
      <c r="EG134" s="744"/>
      <c r="EH134" s="744"/>
      <c r="EI134" s="744"/>
      <c r="EJ134" s="744"/>
      <c r="EK134" s="744"/>
      <c r="EL134" s="744"/>
      <c r="EM134" s="744"/>
      <c r="EN134" s="744"/>
      <c r="EO134" s="744"/>
      <c r="EP134" s="744"/>
      <c r="EQ134" s="744"/>
      <c r="ER134" s="744"/>
      <c r="ES134" s="744"/>
      <c r="ET134" s="744"/>
      <c r="EU134" s="744"/>
      <c r="EV134" s="744"/>
      <c r="EW134" s="744"/>
      <c r="EX134" s="744"/>
      <c r="EY134" s="744"/>
      <c r="EZ134" s="744"/>
      <c r="FA134" s="744"/>
      <c r="FB134" s="744"/>
      <c r="FC134" s="744"/>
      <c r="FD134" s="744"/>
      <c r="FE134" s="744"/>
      <c r="FF134" s="744"/>
      <c r="FG134" s="744"/>
      <c r="FH134" s="744"/>
      <c r="FI134" s="744"/>
      <c r="FJ134" s="744"/>
      <c r="FK134" s="744"/>
      <c r="FL134" s="744"/>
      <c r="FM134" s="744"/>
      <c r="FN134" s="744"/>
      <c r="FO134" s="744"/>
      <c r="FP134" s="744"/>
      <c r="FQ134" s="744"/>
      <c r="FR134" s="744"/>
      <c r="FS134" s="744"/>
      <c r="FT134" s="744"/>
      <c r="FU134" s="744"/>
      <c r="FV134" s="744"/>
      <c r="FW134" s="744"/>
      <c r="FX134" s="744"/>
      <c r="FY134" s="744"/>
      <c r="FZ134" s="744"/>
      <c r="GA134" s="744"/>
      <c r="GB134" s="744"/>
      <c r="GC134" s="744"/>
      <c r="GD134" s="744"/>
      <c r="GE134" s="744"/>
      <c r="GF134" s="744"/>
      <c r="GG134" s="744"/>
      <c r="GH134" s="744"/>
      <c r="GI134" s="744"/>
      <c r="GJ134" s="744"/>
      <c r="GK134" s="744"/>
      <c r="GL134" s="744"/>
      <c r="GM134" s="744"/>
      <c r="GN134" s="744"/>
      <c r="GO134" s="744"/>
      <c r="GP134" s="744"/>
      <c r="GQ134" s="744"/>
      <c r="GR134" s="744"/>
      <c r="GS134" s="744"/>
      <c r="GT134" s="744"/>
      <c r="GU134" s="744"/>
      <c r="GV134" s="744"/>
      <c r="GW134" s="744"/>
      <c r="GX134" s="744"/>
      <c r="GY134" s="744"/>
      <c r="GZ134" s="744"/>
      <c r="HA134" s="744"/>
      <c r="HB134" s="744"/>
      <c r="HC134" s="744"/>
      <c r="HD134" s="744"/>
      <c r="HE134" s="744"/>
      <c r="HF134" s="744"/>
      <c r="HG134" s="744"/>
      <c r="HH134" s="744"/>
      <c r="HI134" s="744"/>
      <c r="HJ134" s="744"/>
      <c r="HK134" s="744"/>
      <c r="HL134" s="744"/>
      <c r="HM134" s="744"/>
      <c r="HN134" s="744"/>
      <c r="HO134" s="744"/>
      <c r="HP134" s="744"/>
      <c r="HQ134" s="744"/>
      <c r="HR134" s="744"/>
      <c r="HS134" s="744"/>
      <c r="HT134" s="744"/>
      <c r="HU134" s="744"/>
      <c r="HV134" s="744"/>
      <c r="HW134" s="744"/>
      <c r="HX134" s="744"/>
      <c r="HY134" s="744"/>
      <c r="HZ134" s="744"/>
      <c r="IA134" s="744"/>
      <c r="IB134" s="744"/>
      <c r="IC134" s="744"/>
      <c r="ID134" s="744"/>
      <c r="IE134" s="744"/>
      <c r="IF134" s="744"/>
      <c r="IG134" s="744"/>
      <c r="IH134" s="744"/>
      <c r="II134" s="744"/>
      <c r="IJ134" s="744"/>
      <c r="IK134" s="744"/>
      <c r="IL134" s="744"/>
      <c r="IM134" s="744"/>
      <c r="IN134" s="744"/>
      <c r="IO134" s="744"/>
      <c r="IP134" s="744"/>
      <c r="IQ134" s="744"/>
      <c r="IR134" s="744"/>
      <c r="IS134" s="744"/>
    </row>
    <row r="135" s="73" customFormat="1" ht="15" spans="1:253">
      <c r="A135" s="709" t="s">
        <v>217</v>
      </c>
      <c r="B135" s="682" t="s">
        <v>246</v>
      </c>
      <c r="C135" s="732" t="s">
        <v>151</v>
      </c>
      <c r="D135" s="729" t="s">
        <v>95</v>
      </c>
      <c r="E135" s="733">
        <f>'PB VI - Memorial'!C171</f>
        <v>33.36</v>
      </c>
      <c r="F135" s="711">
        <v>8.1</v>
      </c>
      <c r="G135" s="711">
        <f t="shared" si="6"/>
        <v>270.22</v>
      </c>
      <c r="H135" s="724"/>
      <c r="I135" s="724"/>
      <c r="J135" s="724"/>
      <c r="K135" s="724"/>
      <c r="L135" s="724"/>
      <c r="M135" s="724"/>
      <c r="N135" s="741"/>
      <c r="O135" s="741"/>
      <c r="P135" s="741"/>
      <c r="Q135" s="741"/>
      <c r="R135" s="741"/>
      <c r="S135" s="741"/>
      <c r="T135" s="741"/>
      <c r="U135" s="741"/>
      <c r="V135" s="741"/>
      <c r="W135" s="741"/>
      <c r="X135" s="741"/>
      <c r="Y135" s="741"/>
      <c r="Z135" s="741"/>
      <c r="AA135" s="741"/>
      <c r="AB135" s="741"/>
      <c r="AC135" s="741"/>
      <c r="AD135" s="741"/>
      <c r="AE135" s="741"/>
      <c r="AF135" s="741"/>
      <c r="AG135" s="741"/>
      <c r="AH135" s="741"/>
      <c r="AI135" s="741"/>
      <c r="AJ135" s="741"/>
      <c r="AK135" s="741"/>
      <c r="AL135" s="741"/>
      <c r="AM135" s="741"/>
      <c r="AN135" s="741"/>
      <c r="AO135" s="741"/>
      <c r="AP135" s="741"/>
      <c r="AQ135" s="741"/>
      <c r="AR135" s="741"/>
      <c r="AS135" s="741"/>
      <c r="AT135" s="741"/>
      <c r="AU135" s="741"/>
      <c r="AV135" s="741"/>
      <c r="AW135" s="741"/>
      <c r="AX135" s="741"/>
      <c r="AY135" s="741"/>
      <c r="AZ135" s="741"/>
      <c r="BA135" s="741"/>
      <c r="BB135" s="741"/>
      <c r="BC135" s="741"/>
      <c r="BD135" s="741"/>
      <c r="BE135" s="741"/>
      <c r="BF135" s="741"/>
      <c r="BG135" s="741"/>
      <c r="BH135" s="741"/>
      <c r="BI135" s="741"/>
      <c r="BJ135" s="741"/>
      <c r="BK135" s="741"/>
      <c r="BL135" s="741"/>
      <c r="BM135" s="741"/>
      <c r="BN135" s="741"/>
      <c r="BO135" s="741"/>
      <c r="BP135" s="741"/>
      <c r="BQ135" s="741"/>
      <c r="BR135" s="741"/>
      <c r="BS135" s="741"/>
      <c r="BT135" s="741"/>
      <c r="BU135" s="741"/>
      <c r="BV135" s="741"/>
      <c r="BW135" s="744"/>
      <c r="BX135" s="744"/>
      <c r="BY135" s="744"/>
      <c r="BZ135" s="744"/>
      <c r="CA135" s="744"/>
      <c r="CB135" s="744"/>
      <c r="CC135" s="744"/>
      <c r="CD135" s="744"/>
      <c r="CE135" s="744"/>
      <c r="CF135" s="744"/>
      <c r="CG135" s="744"/>
      <c r="CH135" s="744"/>
      <c r="CI135" s="744"/>
      <c r="CJ135" s="744"/>
      <c r="CK135" s="744"/>
      <c r="CL135" s="744"/>
      <c r="CM135" s="744"/>
      <c r="CN135" s="744"/>
      <c r="CO135" s="744"/>
      <c r="CP135" s="744"/>
      <c r="CQ135" s="744"/>
      <c r="CR135" s="744"/>
      <c r="CS135" s="744"/>
      <c r="CT135" s="744"/>
      <c r="CU135" s="744"/>
      <c r="CV135" s="744"/>
      <c r="CW135" s="744"/>
      <c r="CX135" s="744"/>
      <c r="CY135" s="744"/>
      <c r="CZ135" s="744"/>
      <c r="DA135" s="744"/>
      <c r="DB135" s="744"/>
      <c r="DC135" s="744"/>
      <c r="DD135" s="744"/>
      <c r="DE135" s="744"/>
      <c r="DF135" s="744"/>
      <c r="DG135" s="744"/>
      <c r="DH135" s="744"/>
      <c r="DI135" s="744"/>
      <c r="DJ135" s="744"/>
      <c r="DK135" s="744"/>
      <c r="DL135" s="744"/>
      <c r="DM135" s="744"/>
      <c r="DN135" s="744"/>
      <c r="DO135" s="744"/>
      <c r="DP135" s="744"/>
      <c r="DQ135" s="744"/>
      <c r="DR135" s="744"/>
      <c r="DS135" s="744"/>
      <c r="DT135" s="744"/>
      <c r="DU135" s="744"/>
      <c r="DV135" s="744"/>
      <c r="DW135" s="744"/>
      <c r="DX135" s="744"/>
      <c r="DY135" s="744"/>
      <c r="DZ135" s="744"/>
      <c r="EA135" s="744"/>
      <c r="EB135" s="744"/>
      <c r="EC135" s="744"/>
      <c r="ED135" s="744"/>
      <c r="EE135" s="744"/>
      <c r="EF135" s="744"/>
      <c r="EG135" s="744"/>
      <c r="EH135" s="744"/>
      <c r="EI135" s="744"/>
      <c r="EJ135" s="744"/>
      <c r="EK135" s="744"/>
      <c r="EL135" s="744"/>
      <c r="EM135" s="744"/>
      <c r="EN135" s="744"/>
      <c r="EO135" s="744"/>
      <c r="EP135" s="744"/>
      <c r="EQ135" s="744"/>
      <c r="ER135" s="744"/>
      <c r="ES135" s="744"/>
      <c r="ET135" s="744"/>
      <c r="EU135" s="744"/>
      <c r="EV135" s="744"/>
      <c r="EW135" s="744"/>
      <c r="EX135" s="744"/>
      <c r="EY135" s="744"/>
      <c r="EZ135" s="744"/>
      <c r="FA135" s="744"/>
      <c r="FB135" s="744"/>
      <c r="FC135" s="744"/>
      <c r="FD135" s="744"/>
      <c r="FE135" s="744"/>
      <c r="FF135" s="744"/>
      <c r="FG135" s="744"/>
      <c r="FH135" s="744"/>
      <c r="FI135" s="744"/>
      <c r="FJ135" s="744"/>
      <c r="FK135" s="744"/>
      <c r="FL135" s="744"/>
      <c r="FM135" s="744"/>
      <c r="FN135" s="744"/>
      <c r="FO135" s="744"/>
      <c r="FP135" s="744"/>
      <c r="FQ135" s="744"/>
      <c r="FR135" s="744"/>
      <c r="FS135" s="744"/>
      <c r="FT135" s="744"/>
      <c r="FU135" s="744"/>
      <c r="FV135" s="744"/>
      <c r="FW135" s="744"/>
      <c r="FX135" s="744"/>
      <c r="FY135" s="744"/>
      <c r="FZ135" s="744"/>
      <c r="GA135" s="744"/>
      <c r="GB135" s="744"/>
      <c r="GC135" s="744"/>
      <c r="GD135" s="744"/>
      <c r="GE135" s="744"/>
      <c r="GF135" s="744"/>
      <c r="GG135" s="744"/>
      <c r="GH135" s="744"/>
      <c r="GI135" s="744"/>
      <c r="GJ135" s="744"/>
      <c r="GK135" s="744"/>
      <c r="GL135" s="744"/>
      <c r="GM135" s="744"/>
      <c r="GN135" s="744"/>
      <c r="GO135" s="744"/>
      <c r="GP135" s="744"/>
      <c r="GQ135" s="744"/>
      <c r="GR135" s="744"/>
      <c r="GS135" s="744"/>
      <c r="GT135" s="744"/>
      <c r="GU135" s="744"/>
      <c r="GV135" s="744"/>
      <c r="GW135" s="744"/>
      <c r="GX135" s="744"/>
      <c r="GY135" s="744"/>
      <c r="GZ135" s="744"/>
      <c r="HA135" s="744"/>
      <c r="HB135" s="744"/>
      <c r="HC135" s="744"/>
      <c r="HD135" s="744"/>
      <c r="HE135" s="744"/>
      <c r="HF135" s="744"/>
      <c r="HG135" s="744"/>
      <c r="HH135" s="744"/>
      <c r="HI135" s="744"/>
      <c r="HJ135" s="744"/>
      <c r="HK135" s="744"/>
      <c r="HL135" s="744"/>
      <c r="HM135" s="744"/>
      <c r="HN135" s="744"/>
      <c r="HO135" s="744"/>
      <c r="HP135" s="744"/>
      <c r="HQ135" s="744"/>
      <c r="HR135" s="744"/>
      <c r="HS135" s="744"/>
      <c r="HT135" s="744"/>
      <c r="HU135" s="744"/>
      <c r="HV135" s="744"/>
      <c r="HW135" s="744"/>
      <c r="HX135" s="744"/>
      <c r="HY135" s="744"/>
      <c r="HZ135" s="744"/>
      <c r="IA135" s="744"/>
      <c r="IB135" s="744"/>
      <c r="IC135" s="744"/>
      <c r="ID135" s="744"/>
      <c r="IE135" s="744"/>
      <c r="IF135" s="744"/>
      <c r="IG135" s="744"/>
      <c r="IH135" s="744"/>
      <c r="II135" s="744"/>
      <c r="IJ135" s="744"/>
      <c r="IK135" s="744"/>
      <c r="IL135" s="744"/>
      <c r="IM135" s="744"/>
      <c r="IN135" s="744"/>
      <c r="IO135" s="744"/>
      <c r="IP135" s="744"/>
      <c r="IQ135" s="744"/>
      <c r="IR135" s="744"/>
      <c r="IS135" s="744"/>
    </row>
    <row r="136" s="73" customFormat="1" ht="15" spans="1:253">
      <c r="A136" s="709" t="s">
        <v>223</v>
      </c>
      <c r="B136" s="682" t="s">
        <v>247</v>
      </c>
      <c r="C136" s="732" t="s">
        <v>182</v>
      </c>
      <c r="D136" s="729" t="s">
        <v>95</v>
      </c>
      <c r="E136" s="733">
        <f>'PB VI - Memorial'!G171</f>
        <v>1.64</v>
      </c>
      <c r="F136" s="711">
        <v>9.74</v>
      </c>
      <c r="G136" s="711">
        <f t="shared" si="6"/>
        <v>15.97</v>
      </c>
      <c r="H136" s="724"/>
      <c r="I136" s="724"/>
      <c r="J136" s="724"/>
      <c r="K136" s="724"/>
      <c r="L136" s="724"/>
      <c r="M136" s="724"/>
      <c r="N136" s="741"/>
      <c r="O136" s="741"/>
      <c r="P136" s="741"/>
      <c r="Q136" s="741"/>
      <c r="R136" s="741"/>
      <c r="S136" s="741"/>
      <c r="T136" s="741"/>
      <c r="U136" s="741"/>
      <c r="V136" s="741"/>
      <c r="W136" s="741"/>
      <c r="X136" s="741"/>
      <c r="Y136" s="741"/>
      <c r="Z136" s="741"/>
      <c r="AA136" s="741"/>
      <c r="AB136" s="741"/>
      <c r="AC136" s="741"/>
      <c r="AD136" s="741"/>
      <c r="AE136" s="741"/>
      <c r="AF136" s="741"/>
      <c r="AG136" s="741"/>
      <c r="AH136" s="741"/>
      <c r="AI136" s="741"/>
      <c r="AJ136" s="741"/>
      <c r="AK136" s="741"/>
      <c r="AL136" s="741"/>
      <c r="AM136" s="741"/>
      <c r="AN136" s="741"/>
      <c r="AO136" s="741"/>
      <c r="AP136" s="741"/>
      <c r="AQ136" s="741"/>
      <c r="AR136" s="741"/>
      <c r="AS136" s="741"/>
      <c r="AT136" s="741"/>
      <c r="AU136" s="741"/>
      <c r="AV136" s="741"/>
      <c r="AW136" s="741"/>
      <c r="AX136" s="741"/>
      <c r="AY136" s="741"/>
      <c r="AZ136" s="741"/>
      <c r="BA136" s="741"/>
      <c r="BB136" s="741"/>
      <c r="BC136" s="741"/>
      <c r="BD136" s="741"/>
      <c r="BE136" s="741"/>
      <c r="BF136" s="741"/>
      <c r="BG136" s="741"/>
      <c r="BH136" s="741"/>
      <c r="BI136" s="741"/>
      <c r="BJ136" s="741"/>
      <c r="BK136" s="741"/>
      <c r="BL136" s="741"/>
      <c r="BM136" s="741"/>
      <c r="BN136" s="741"/>
      <c r="BO136" s="741"/>
      <c r="BP136" s="741"/>
      <c r="BQ136" s="741"/>
      <c r="BR136" s="741"/>
      <c r="BS136" s="741"/>
      <c r="BT136" s="741"/>
      <c r="BU136" s="741"/>
      <c r="BV136" s="741"/>
      <c r="BW136" s="744"/>
      <c r="BX136" s="744"/>
      <c r="BY136" s="744"/>
      <c r="BZ136" s="744"/>
      <c r="CA136" s="744"/>
      <c r="CB136" s="744"/>
      <c r="CC136" s="744"/>
      <c r="CD136" s="744"/>
      <c r="CE136" s="744"/>
      <c r="CF136" s="744"/>
      <c r="CG136" s="744"/>
      <c r="CH136" s="744"/>
      <c r="CI136" s="744"/>
      <c r="CJ136" s="744"/>
      <c r="CK136" s="744"/>
      <c r="CL136" s="744"/>
      <c r="CM136" s="744"/>
      <c r="CN136" s="744"/>
      <c r="CO136" s="744"/>
      <c r="CP136" s="744"/>
      <c r="CQ136" s="744"/>
      <c r="CR136" s="744"/>
      <c r="CS136" s="744"/>
      <c r="CT136" s="744"/>
      <c r="CU136" s="744"/>
      <c r="CV136" s="744"/>
      <c r="CW136" s="744"/>
      <c r="CX136" s="744"/>
      <c r="CY136" s="744"/>
      <c r="CZ136" s="744"/>
      <c r="DA136" s="744"/>
      <c r="DB136" s="744"/>
      <c r="DC136" s="744"/>
      <c r="DD136" s="744"/>
      <c r="DE136" s="744"/>
      <c r="DF136" s="744"/>
      <c r="DG136" s="744"/>
      <c r="DH136" s="744"/>
      <c r="DI136" s="744"/>
      <c r="DJ136" s="744"/>
      <c r="DK136" s="744"/>
      <c r="DL136" s="744"/>
      <c r="DM136" s="744"/>
      <c r="DN136" s="744"/>
      <c r="DO136" s="744"/>
      <c r="DP136" s="744"/>
      <c r="DQ136" s="744"/>
      <c r="DR136" s="744"/>
      <c r="DS136" s="744"/>
      <c r="DT136" s="744"/>
      <c r="DU136" s="744"/>
      <c r="DV136" s="744"/>
      <c r="DW136" s="744"/>
      <c r="DX136" s="744"/>
      <c r="DY136" s="744"/>
      <c r="DZ136" s="744"/>
      <c r="EA136" s="744"/>
      <c r="EB136" s="744"/>
      <c r="EC136" s="744"/>
      <c r="ED136" s="744"/>
      <c r="EE136" s="744"/>
      <c r="EF136" s="744"/>
      <c r="EG136" s="744"/>
      <c r="EH136" s="744"/>
      <c r="EI136" s="744"/>
      <c r="EJ136" s="744"/>
      <c r="EK136" s="744"/>
      <c r="EL136" s="744"/>
      <c r="EM136" s="744"/>
      <c r="EN136" s="744"/>
      <c r="EO136" s="744"/>
      <c r="EP136" s="744"/>
      <c r="EQ136" s="744"/>
      <c r="ER136" s="744"/>
      <c r="ES136" s="744"/>
      <c r="ET136" s="744"/>
      <c r="EU136" s="744"/>
      <c r="EV136" s="744"/>
      <c r="EW136" s="744"/>
      <c r="EX136" s="744"/>
      <c r="EY136" s="744"/>
      <c r="EZ136" s="744"/>
      <c r="FA136" s="744"/>
      <c r="FB136" s="744"/>
      <c r="FC136" s="744"/>
      <c r="FD136" s="744"/>
      <c r="FE136" s="744"/>
      <c r="FF136" s="744"/>
      <c r="FG136" s="744"/>
      <c r="FH136" s="744"/>
      <c r="FI136" s="744"/>
      <c r="FJ136" s="744"/>
      <c r="FK136" s="744"/>
      <c r="FL136" s="744"/>
      <c r="FM136" s="744"/>
      <c r="FN136" s="744"/>
      <c r="FO136" s="744"/>
      <c r="FP136" s="744"/>
      <c r="FQ136" s="744"/>
      <c r="FR136" s="744"/>
      <c r="FS136" s="744"/>
      <c r="FT136" s="744"/>
      <c r="FU136" s="744"/>
      <c r="FV136" s="744"/>
      <c r="FW136" s="744"/>
      <c r="FX136" s="744"/>
      <c r="FY136" s="744"/>
      <c r="FZ136" s="744"/>
      <c r="GA136" s="744"/>
      <c r="GB136" s="744"/>
      <c r="GC136" s="744"/>
      <c r="GD136" s="744"/>
      <c r="GE136" s="744"/>
      <c r="GF136" s="744"/>
      <c r="GG136" s="744"/>
      <c r="GH136" s="744"/>
      <c r="GI136" s="744"/>
      <c r="GJ136" s="744"/>
      <c r="GK136" s="744"/>
      <c r="GL136" s="744"/>
      <c r="GM136" s="744"/>
      <c r="GN136" s="744"/>
      <c r="GO136" s="744"/>
      <c r="GP136" s="744"/>
      <c r="GQ136" s="744"/>
      <c r="GR136" s="744"/>
      <c r="GS136" s="744"/>
      <c r="GT136" s="744"/>
      <c r="GU136" s="744"/>
      <c r="GV136" s="744"/>
      <c r="GW136" s="744"/>
      <c r="GX136" s="744"/>
      <c r="GY136" s="744"/>
      <c r="GZ136" s="744"/>
      <c r="HA136" s="744"/>
      <c r="HB136" s="744"/>
      <c r="HC136" s="744"/>
      <c r="HD136" s="744"/>
      <c r="HE136" s="744"/>
      <c r="HF136" s="744"/>
      <c r="HG136" s="744"/>
      <c r="HH136" s="744"/>
      <c r="HI136" s="744"/>
      <c r="HJ136" s="744"/>
      <c r="HK136" s="744"/>
      <c r="HL136" s="744"/>
      <c r="HM136" s="744"/>
      <c r="HN136" s="744"/>
      <c r="HO136" s="744"/>
      <c r="HP136" s="744"/>
      <c r="HQ136" s="744"/>
      <c r="HR136" s="744"/>
      <c r="HS136" s="744"/>
      <c r="HT136" s="744"/>
      <c r="HU136" s="744"/>
      <c r="HV136" s="744"/>
      <c r="HW136" s="744"/>
      <c r="HX136" s="744"/>
      <c r="HY136" s="744"/>
      <c r="HZ136" s="744"/>
      <c r="IA136" s="744"/>
      <c r="IB136" s="744"/>
      <c r="IC136" s="744"/>
      <c r="ID136" s="744"/>
      <c r="IE136" s="744"/>
      <c r="IF136" s="744"/>
      <c r="IG136" s="744"/>
      <c r="IH136" s="744"/>
      <c r="II136" s="744"/>
      <c r="IJ136" s="744"/>
      <c r="IK136" s="744"/>
      <c r="IL136" s="744"/>
      <c r="IM136" s="744"/>
      <c r="IN136" s="744"/>
      <c r="IO136" s="744"/>
      <c r="IP136" s="744"/>
      <c r="IQ136" s="744"/>
      <c r="IR136" s="744"/>
      <c r="IS136" s="744"/>
    </row>
    <row r="137" s="73" customFormat="1" ht="67.5" spans="1:253">
      <c r="A137" s="709" t="s">
        <v>248</v>
      </c>
      <c r="B137" s="682" t="s">
        <v>249</v>
      </c>
      <c r="C137" s="732" t="s">
        <v>250</v>
      </c>
      <c r="D137" s="729" t="s">
        <v>17</v>
      </c>
      <c r="E137" s="733">
        <v>12.45</v>
      </c>
      <c r="F137" s="711">
        <f>41.37+37.86</f>
        <v>79.23</v>
      </c>
      <c r="G137" s="711">
        <f t="shared" si="6"/>
        <v>986.41</v>
      </c>
      <c r="H137" s="724"/>
      <c r="I137" s="724"/>
      <c r="J137" s="724"/>
      <c r="K137" s="724"/>
      <c r="L137" s="724"/>
      <c r="M137" s="724"/>
      <c r="N137" s="741"/>
      <c r="O137" s="741"/>
      <c r="P137" s="741"/>
      <c r="Q137" s="741"/>
      <c r="R137" s="741"/>
      <c r="S137" s="741"/>
      <c r="T137" s="741"/>
      <c r="U137" s="741"/>
      <c r="V137" s="741"/>
      <c r="W137" s="741"/>
      <c r="X137" s="741"/>
      <c r="Y137" s="741"/>
      <c r="Z137" s="741"/>
      <c r="AA137" s="741"/>
      <c r="AB137" s="741"/>
      <c r="AC137" s="741"/>
      <c r="AD137" s="741"/>
      <c r="AE137" s="741"/>
      <c r="AF137" s="741"/>
      <c r="AG137" s="741"/>
      <c r="AH137" s="741"/>
      <c r="AI137" s="741"/>
      <c r="AJ137" s="741"/>
      <c r="AK137" s="741"/>
      <c r="AL137" s="741"/>
      <c r="AM137" s="741"/>
      <c r="AN137" s="741"/>
      <c r="AO137" s="741"/>
      <c r="AP137" s="741"/>
      <c r="AQ137" s="741"/>
      <c r="AR137" s="741"/>
      <c r="AS137" s="741"/>
      <c r="AT137" s="741"/>
      <c r="AU137" s="741"/>
      <c r="AV137" s="741"/>
      <c r="AW137" s="741"/>
      <c r="AX137" s="741"/>
      <c r="AY137" s="741"/>
      <c r="AZ137" s="741"/>
      <c r="BA137" s="741"/>
      <c r="BB137" s="741"/>
      <c r="BC137" s="741"/>
      <c r="BD137" s="741"/>
      <c r="BE137" s="741"/>
      <c r="BF137" s="741"/>
      <c r="BG137" s="741"/>
      <c r="BH137" s="741"/>
      <c r="BI137" s="741"/>
      <c r="BJ137" s="741"/>
      <c r="BK137" s="741"/>
      <c r="BL137" s="741"/>
      <c r="BM137" s="741"/>
      <c r="BN137" s="741"/>
      <c r="BO137" s="741"/>
      <c r="BP137" s="741"/>
      <c r="BQ137" s="741"/>
      <c r="BR137" s="741"/>
      <c r="BS137" s="741"/>
      <c r="BT137" s="741"/>
      <c r="BU137" s="741"/>
      <c r="BV137" s="741"/>
      <c r="BW137" s="744"/>
      <c r="BX137" s="744"/>
      <c r="BY137" s="744"/>
      <c r="BZ137" s="744"/>
      <c r="CA137" s="744"/>
      <c r="CB137" s="744"/>
      <c r="CC137" s="744"/>
      <c r="CD137" s="744"/>
      <c r="CE137" s="744"/>
      <c r="CF137" s="744"/>
      <c r="CG137" s="744"/>
      <c r="CH137" s="744"/>
      <c r="CI137" s="744"/>
      <c r="CJ137" s="744"/>
      <c r="CK137" s="744"/>
      <c r="CL137" s="744"/>
      <c r="CM137" s="744"/>
      <c r="CN137" s="744"/>
      <c r="CO137" s="744"/>
      <c r="CP137" s="744"/>
      <c r="CQ137" s="744"/>
      <c r="CR137" s="744"/>
      <c r="CS137" s="744"/>
      <c r="CT137" s="744"/>
      <c r="CU137" s="744"/>
      <c r="CV137" s="744"/>
      <c r="CW137" s="744"/>
      <c r="CX137" s="744"/>
      <c r="CY137" s="744"/>
      <c r="CZ137" s="744"/>
      <c r="DA137" s="744"/>
      <c r="DB137" s="744"/>
      <c r="DC137" s="744"/>
      <c r="DD137" s="744"/>
      <c r="DE137" s="744"/>
      <c r="DF137" s="744"/>
      <c r="DG137" s="744"/>
      <c r="DH137" s="744"/>
      <c r="DI137" s="744"/>
      <c r="DJ137" s="744"/>
      <c r="DK137" s="744"/>
      <c r="DL137" s="744"/>
      <c r="DM137" s="744"/>
      <c r="DN137" s="744"/>
      <c r="DO137" s="744"/>
      <c r="DP137" s="744"/>
      <c r="DQ137" s="744"/>
      <c r="DR137" s="744"/>
      <c r="DS137" s="744"/>
      <c r="DT137" s="744"/>
      <c r="DU137" s="744"/>
      <c r="DV137" s="744"/>
      <c r="DW137" s="744"/>
      <c r="DX137" s="744"/>
      <c r="DY137" s="744"/>
      <c r="DZ137" s="744"/>
      <c r="EA137" s="744"/>
      <c r="EB137" s="744"/>
      <c r="EC137" s="744"/>
      <c r="ED137" s="744"/>
      <c r="EE137" s="744"/>
      <c r="EF137" s="744"/>
      <c r="EG137" s="744"/>
      <c r="EH137" s="744"/>
      <c r="EI137" s="744"/>
      <c r="EJ137" s="744"/>
      <c r="EK137" s="744"/>
      <c r="EL137" s="744"/>
      <c r="EM137" s="744"/>
      <c r="EN137" s="744"/>
      <c r="EO137" s="744"/>
      <c r="EP137" s="744"/>
      <c r="EQ137" s="744"/>
      <c r="ER137" s="744"/>
      <c r="ES137" s="744"/>
      <c r="ET137" s="744"/>
      <c r="EU137" s="744"/>
      <c r="EV137" s="744"/>
      <c r="EW137" s="744"/>
      <c r="EX137" s="744"/>
      <c r="EY137" s="744"/>
      <c r="EZ137" s="744"/>
      <c r="FA137" s="744"/>
      <c r="FB137" s="744"/>
      <c r="FC137" s="744"/>
      <c r="FD137" s="744"/>
      <c r="FE137" s="744"/>
      <c r="FF137" s="744"/>
      <c r="FG137" s="744"/>
      <c r="FH137" s="744"/>
      <c r="FI137" s="744"/>
      <c r="FJ137" s="744"/>
      <c r="FK137" s="744"/>
      <c r="FL137" s="744"/>
      <c r="FM137" s="744"/>
      <c r="FN137" s="744"/>
      <c r="FO137" s="744"/>
      <c r="FP137" s="744"/>
      <c r="FQ137" s="744"/>
      <c r="FR137" s="744"/>
      <c r="FS137" s="744"/>
      <c r="FT137" s="744"/>
      <c r="FU137" s="744"/>
      <c r="FV137" s="744"/>
      <c r="FW137" s="744"/>
      <c r="FX137" s="744"/>
      <c r="FY137" s="744"/>
      <c r="FZ137" s="744"/>
      <c r="GA137" s="744"/>
      <c r="GB137" s="744"/>
      <c r="GC137" s="744"/>
      <c r="GD137" s="744"/>
      <c r="GE137" s="744"/>
      <c r="GF137" s="744"/>
      <c r="GG137" s="744"/>
      <c r="GH137" s="744"/>
      <c r="GI137" s="744"/>
      <c r="GJ137" s="744"/>
      <c r="GK137" s="744"/>
      <c r="GL137" s="744"/>
      <c r="GM137" s="744"/>
      <c r="GN137" s="744"/>
      <c r="GO137" s="744"/>
      <c r="GP137" s="744"/>
      <c r="GQ137" s="744"/>
      <c r="GR137" s="744"/>
      <c r="GS137" s="744"/>
      <c r="GT137" s="744"/>
      <c r="GU137" s="744"/>
      <c r="GV137" s="744"/>
      <c r="GW137" s="744"/>
      <c r="GX137" s="744"/>
      <c r="GY137" s="744"/>
      <c r="GZ137" s="744"/>
      <c r="HA137" s="744"/>
      <c r="HB137" s="744"/>
      <c r="HC137" s="744"/>
      <c r="HD137" s="744"/>
      <c r="HE137" s="744"/>
      <c r="HF137" s="744"/>
      <c r="HG137" s="744"/>
      <c r="HH137" s="744"/>
      <c r="HI137" s="744"/>
      <c r="HJ137" s="744"/>
      <c r="HK137" s="744"/>
      <c r="HL137" s="744"/>
      <c r="HM137" s="744"/>
      <c r="HN137" s="744"/>
      <c r="HO137" s="744"/>
      <c r="HP137" s="744"/>
      <c r="HQ137" s="744"/>
      <c r="HR137" s="744"/>
      <c r="HS137" s="744"/>
      <c r="HT137" s="744"/>
      <c r="HU137" s="744"/>
      <c r="HV137" s="744"/>
      <c r="HW137" s="744"/>
      <c r="HX137" s="744"/>
      <c r="HY137" s="744"/>
      <c r="HZ137" s="744"/>
      <c r="IA137" s="744"/>
      <c r="IB137" s="744"/>
      <c r="IC137" s="744"/>
      <c r="ID137" s="744"/>
      <c r="IE137" s="744"/>
      <c r="IF137" s="744"/>
      <c r="IG137" s="744"/>
      <c r="IH137" s="744"/>
      <c r="II137" s="744"/>
      <c r="IJ137" s="744"/>
      <c r="IK137" s="744"/>
      <c r="IL137" s="744"/>
      <c r="IM137" s="744"/>
      <c r="IN137" s="744"/>
      <c r="IO137" s="744"/>
      <c r="IP137" s="744"/>
      <c r="IQ137" s="744"/>
      <c r="IR137" s="744"/>
      <c r="IS137" s="744"/>
    </row>
    <row r="138" s="73" customFormat="1" ht="15" spans="1:253">
      <c r="A138" s="709"/>
      <c r="B138" s="682"/>
      <c r="C138" s="732"/>
      <c r="D138" s="729"/>
      <c r="E138" s="733"/>
      <c r="F138" s="731"/>
      <c r="G138" s="731"/>
      <c r="H138" s="724"/>
      <c r="I138" s="724"/>
      <c r="J138" s="724"/>
      <c r="K138" s="724"/>
      <c r="L138" s="724"/>
      <c r="M138" s="724"/>
      <c r="N138" s="741"/>
      <c r="O138" s="741"/>
      <c r="P138" s="741"/>
      <c r="Q138" s="741"/>
      <c r="R138" s="741"/>
      <c r="S138" s="741"/>
      <c r="T138" s="741"/>
      <c r="U138" s="741"/>
      <c r="V138" s="741"/>
      <c r="W138" s="741"/>
      <c r="X138" s="741"/>
      <c r="Y138" s="741"/>
      <c r="Z138" s="741"/>
      <c r="AA138" s="741"/>
      <c r="AB138" s="741"/>
      <c r="AC138" s="741"/>
      <c r="AD138" s="741"/>
      <c r="AE138" s="741"/>
      <c r="AF138" s="741"/>
      <c r="AG138" s="741"/>
      <c r="AH138" s="741"/>
      <c r="AI138" s="741"/>
      <c r="AJ138" s="741"/>
      <c r="AK138" s="741"/>
      <c r="AL138" s="741"/>
      <c r="AM138" s="741"/>
      <c r="AN138" s="741"/>
      <c r="AO138" s="741"/>
      <c r="AP138" s="741"/>
      <c r="AQ138" s="741"/>
      <c r="AR138" s="741"/>
      <c r="AS138" s="741"/>
      <c r="AT138" s="741"/>
      <c r="AU138" s="741"/>
      <c r="AV138" s="741"/>
      <c r="AW138" s="741"/>
      <c r="AX138" s="741"/>
      <c r="AY138" s="741"/>
      <c r="AZ138" s="741"/>
      <c r="BA138" s="741"/>
      <c r="BB138" s="741"/>
      <c r="BC138" s="741"/>
      <c r="BD138" s="741"/>
      <c r="BE138" s="741"/>
      <c r="BF138" s="741"/>
      <c r="BG138" s="741"/>
      <c r="BH138" s="741"/>
      <c r="BI138" s="741"/>
      <c r="BJ138" s="741"/>
      <c r="BK138" s="741"/>
      <c r="BL138" s="741"/>
      <c r="BM138" s="741"/>
      <c r="BN138" s="741"/>
      <c r="BO138" s="741"/>
      <c r="BP138" s="741"/>
      <c r="BQ138" s="741"/>
      <c r="BR138" s="741"/>
      <c r="BS138" s="741"/>
      <c r="BT138" s="741"/>
      <c r="BU138" s="741"/>
      <c r="BV138" s="741"/>
      <c r="BW138" s="744"/>
      <c r="BX138" s="744"/>
      <c r="BY138" s="744"/>
      <c r="BZ138" s="744"/>
      <c r="CA138" s="744"/>
      <c r="CB138" s="744"/>
      <c r="CC138" s="744"/>
      <c r="CD138" s="744"/>
      <c r="CE138" s="744"/>
      <c r="CF138" s="744"/>
      <c r="CG138" s="744"/>
      <c r="CH138" s="744"/>
      <c r="CI138" s="744"/>
      <c r="CJ138" s="744"/>
      <c r="CK138" s="744"/>
      <c r="CL138" s="744"/>
      <c r="CM138" s="744"/>
      <c r="CN138" s="744"/>
      <c r="CO138" s="744"/>
      <c r="CP138" s="744"/>
      <c r="CQ138" s="744"/>
      <c r="CR138" s="744"/>
      <c r="CS138" s="744"/>
      <c r="CT138" s="744"/>
      <c r="CU138" s="744"/>
      <c r="CV138" s="744"/>
      <c r="CW138" s="744"/>
      <c r="CX138" s="744"/>
      <c r="CY138" s="744"/>
      <c r="CZ138" s="744"/>
      <c r="DA138" s="744"/>
      <c r="DB138" s="744"/>
      <c r="DC138" s="744"/>
      <c r="DD138" s="744"/>
      <c r="DE138" s="744"/>
      <c r="DF138" s="744"/>
      <c r="DG138" s="744"/>
      <c r="DH138" s="744"/>
      <c r="DI138" s="744"/>
      <c r="DJ138" s="744"/>
      <c r="DK138" s="744"/>
      <c r="DL138" s="744"/>
      <c r="DM138" s="744"/>
      <c r="DN138" s="744"/>
      <c r="DO138" s="744"/>
      <c r="DP138" s="744"/>
      <c r="DQ138" s="744"/>
      <c r="DR138" s="744"/>
      <c r="DS138" s="744"/>
      <c r="DT138" s="744"/>
      <c r="DU138" s="744"/>
      <c r="DV138" s="744"/>
      <c r="DW138" s="744"/>
      <c r="DX138" s="744"/>
      <c r="DY138" s="744"/>
      <c r="DZ138" s="744"/>
      <c r="EA138" s="744"/>
      <c r="EB138" s="744"/>
      <c r="EC138" s="744"/>
      <c r="ED138" s="744"/>
      <c r="EE138" s="744"/>
      <c r="EF138" s="744"/>
      <c r="EG138" s="744"/>
      <c r="EH138" s="744"/>
      <c r="EI138" s="744"/>
      <c r="EJ138" s="744"/>
      <c r="EK138" s="744"/>
      <c r="EL138" s="744"/>
      <c r="EM138" s="744"/>
      <c r="EN138" s="744"/>
      <c r="EO138" s="744"/>
      <c r="EP138" s="744"/>
      <c r="EQ138" s="744"/>
      <c r="ER138" s="744"/>
      <c r="ES138" s="744"/>
      <c r="ET138" s="744"/>
      <c r="EU138" s="744"/>
      <c r="EV138" s="744"/>
      <c r="EW138" s="744"/>
      <c r="EX138" s="744"/>
      <c r="EY138" s="744"/>
      <c r="EZ138" s="744"/>
      <c r="FA138" s="744"/>
      <c r="FB138" s="744"/>
      <c r="FC138" s="744"/>
      <c r="FD138" s="744"/>
      <c r="FE138" s="744"/>
      <c r="FF138" s="744"/>
      <c r="FG138" s="744"/>
      <c r="FH138" s="744"/>
      <c r="FI138" s="744"/>
      <c r="FJ138" s="744"/>
      <c r="FK138" s="744"/>
      <c r="FL138" s="744"/>
      <c r="FM138" s="744"/>
      <c r="FN138" s="744"/>
      <c r="FO138" s="744"/>
      <c r="FP138" s="744"/>
      <c r="FQ138" s="744"/>
      <c r="FR138" s="744"/>
      <c r="FS138" s="744"/>
      <c r="FT138" s="744"/>
      <c r="FU138" s="744"/>
      <c r="FV138" s="744"/>
      <c r="FW138" s="744"/>
      <c r="FX138" s="744"/>
      <c r="FY138" s="744"/>
      <c r="FZ138" s="744"/>
      <c r="GA138" s="744"/>
      <c r="GB138" s="744"/>
      <c r="GC138" s="744"/>
      <c r="GD138" s="744"/>
      <c r="GE138" s="744"/>
      <c r="GF138" s="744"/>
      <c r="GG138" s="744"/>
      <c r="GH138" s="744"/>
      <c r="GI138" s="744"/>
      <c r="GJ138" s="744"/>
      <c r="GK138" s="744"/>
      <c r="GL138" s="744"/>
      <c r="GM138" s="744"/>
      <c r="GN138" s="744"/>
      <c r="GO138" s="744"/>
      <c r="GP138" s="744"/>
      <c r="GQ138" s="744"/>
      <c r="GR138" s="744"/>
      <c r="GS138" s="744"/>
      <c r="GT138" s="744"/>
      <c r="GU138" s="744"/>
      <c r="GV138" s="744"/>
      <c r="GW138" s="744"/>
      <c r="GX138" s="744"/>
      <c r="GY138" s="744"/>
      <c r="GZ138" s="744"/>
      <c r="HA138" s="744"/>
      <c r="HB138" s="744"/>
      <c r="HC138" s="744"/>
      <c r="HD138" s="744"/>
      <c r="HE138" s="744"/>
      <c r="HF138" s="744"/>
      <c r="HG138" s="744"/>
      <c r="HH138" s="744"/>
      <c r="HI138" s="744"/>
      <c r="HJ138" s="744"/>
      <c r="HK138" s="744"/>
      <c r="HL138" s="744"/>
      <c r="HM138" s="744"/>
      <c r="HN138" s="744"/>
      <c r="HO138" s="744"/>
      <c r="HP138" s="744"/>
      <c r="HQ138" s="744"/>
      <c r="HR138" s="744"/>
      <c r="HS138" s="744"/>
      <c r="HT138" s="744"/>
      <c r="HU138" s="744"/>
      <c r="HV138" s="744"/>
      <c r="HW138" s="744"/>
      <c r="HX138" s="744"/>
      <c r="HY138" s="744"/>
      <c r="HZ138" s="744"/>
      <c r="IA138" s="744"/>
      <c r="IB138" s="744"/>
      <c r="IC138" s="744"/>
      <c r="ID138" s="744"/>
      <c r="IE138" s="744"/>
      <c r="IF138" s="744"/>
      <c r="IG138" s="744"/>
      <c r="IH138" s="744"/>
      <c r="II138" s="744"/>
      <c r="IJ138" s="744"/>
      <c r="IK138" s="744"/>
      <c r="IL138" s="744"/>
      <c r="IM138" s="744"/>
      <c r="IN138" s="744"/>
      <c r="IO138" s="744"/>
      <c r="IP138" s="744"/>
      <c r="IQ138" s="744"/>
      <c r="IR138" s="744"/>
      <c r="IS138" s="744"/>
    </row>
    <row r="139" s="73" customFormat="1" ht="15" spans="1:253">
      <c r="A139" s="672"/>
      <c r="B139" s="666">
        <v>6</v>
      </c>
      <c r="C139" s="671" t="s">
        <v>251</v>
      </c>
      <c r="D139" s="672"/>
      <c r="E139" s="692"/>
      <c r="F139" s="692"/>
      <c r="G139" s="674">
        <f>SUM(G140:G152)</f>
        <v>37772.64</v>
      </c>
      <c r="H139" s="724"/>
      <c r="I139" s="169"/>
      <c r="J139" s="724"/>
      <c r="K139" s="724"/>
      <c r="L139" s="724"/>
      <c r="M139" s="724"/>
      <c r="N139" s="741"/>
      <c r="O139" s="741"/>
      <c r="P139" s="741"/>
      <c r="Q139" s="741"/>
      <c r="R139" s="741"/>
      <c r="S139" s="741"/>
      <c r="T139" s="741"/>
      <c r="U139" s="741"/>
      <c r="V139" s="741"/>
      <c r="W139" s="741"/>
      <c r="X139" s="741"/>
      <c r="Y139" s="741"/>
      <c r="Z139" s="741"/>
      <c r="AA139" s="741"/>
      <c r="AB139" s="741"/>
      <c r="AC139" s="741"/>
      <c r="AD139" s="741"/>
      <c r="AE139" s="741"/>
      <c r="AF139" s="741"/>
      <c r="AG139" s="741"/>
      <c r="AH139" s="741"/>
      <c r="AI139" s="741"/>
      <c r="AJ139" s="741"/>
      <c r="AK139" s="741"/>
      <c r="AL139" s="741"/>
      <c r="AM139" s="741"/>
      <c r="AN139" s="741"/>
      <c r="AO139" s="741"/>
      <c r="AP139" s="741"/>
      <c r="AQ139" s="741"/>
      <c r="AR139" s="741"/>
      <c r="AS139" s="741"/>
      <c r="AT139" s="741"/>
      <c r="AU139" s="741"/>
      <c r="AV139" s="741"/>
      <c r="AW139" s="741"/>
      <c r="AX139" s="741"/>
      <c r="AY139" s="741"/>
      <c r="AZ139" s="741"/>
      <c r="BA139" s="741"/>
      <c r="BB139" s="741"/>
      <c r="BC139" s="741"/>
      <c r="BD139" s="741"/>
      <c r="BE139" s="741"/>
      <c r="BF139" s="741"/>
      <c r="BG139" s="741"/>
      <c r="BH139" s="741"/>
      <c r="BI139" s="741"/>
      <c r="BJ139" s="741"/>
      <c r="BK139" s="741"/>
      <c r="BL139" s="741"/>
      <c r="BM139" s="741"/>
      <c r="BN139" s="741"/>
      <c r="BO139" s="741"/>
      <c r="BP139" s="741"/>
      <c r="BQ139" s="741"/>
      <c r="BR139" s="741"/>
      <c r="BS139" s="741"/>
      <c r="BT139" s="741"/>
      <c r="BU139" s="741"/>
      <c r="BV139" s="741"/>
      <c r="BW139" s="744"/>
      <c r="BX139" s="744"/>
      <c r="BY139" s="744"/>
      <c r="BZ139" s="744"/>
      <c r="CA139" s="744"/>
      <c r="CB139" s="744"/>
      <c r="CC139" s="744"/>
      <c r="CD139" s="744"/>
      <c r="CE139" s="744"/>
      <c r="CF139" s="744"/>
      <c r="CG139" s="744"/>
      <c r="CH139" s="744"/>
      <c r="CI139" s="744"/>
      <c r="CJ139" s="744"/>
      <c r="CK139" s="744"/>
      <c r="CL139" s="744"/>
      <c r="CM139" s="744"/>
      <c r="CN139" s="744"/>
      <c r="CO139" s="744"/>
      <c r="CP139" s="744"/>
      <c r="CQ139" s="744"/>
      <c r="CR139" s="744"/>
      <c r="CS139" s="744"/>
      <c r="CT139" s="744"/>
      <c r="CU139" s="744"/>
      <c r="CV139" s="744"/>
      <c r="CW139" s="744"/>
      <c r="CX139" s="744"/>
      <c r="CY139" s="744"/>
      <c r="CZ139" s="744"/>
      <c r="DA139" s="744"/>
      <c r="DB139" s="744"/>
      <c r="DC139" s="744"/>
      <c r="DD139" s="744"/>
      <c r="DE139" s="744"/>
      <c r="DF139" s="744"/>
      <c r="DG139" s="744"/>
      <c r="DH139" s="744"/>
      <c r="DI139" s="744"/>
      <c r="DJ139" s="744"/>
      <c r="DK139" s="744"/>
      <c r="DL139" s="744"/>
      <c r="DM139" s="744"/>
      <c r="DN139" s="744"/>
      <c r="DO139" s="744"/>
      <c r="DP139" s="744"/>
      <c r="DQ139" s="744"/>
      <c r="DR139" s="744"/>
      <c r="DS139" s="744"/>
      <c r="DT139" s="744"/>
      <c r="DU139" s="744"/>
      <c r="DV139" s="744"/>
      <c r="DW139" s="744"/>
      <c r="DX139" s="744"/>
      <c r="DY139" s="744"/>
      <c r="DZ139" s="744"/>
      <c r="EA139" s="744"/>
      <c r="EB139" s="744"/>
      <c r="EC139" s="744"/>
      <c r="ED139" s="744"/>
      <c r="EE139" s="744"/>
      <c r="EF139" s="744"/>
      <c r="EG139" s="744"/>
      <c r="EH139" s="744"/>
      <c r="EI139" s="744"/>
      <c r="EJ139" s="744"/>
      <c r="EK139" s="744"/>
      <c r="EL139" s="744"/>
      <c r="EM139" s="744"/>
      <c r="EN139" s="744"/>
      <c r="EO139" s="744"/>
      <c r="EP139" s="744"/>
      <c r="EQ139" s="744"/>
      <c r="ER139" s="744"/>
      <c r="ES139" s="744"/>
      <c r="ET139" s="744"/>
      <c r="EU139" s="744"/>
      <c r="EV139" s="744"/>
      <c r="EW139" s="744"/>
      <c r="EX139" s="744"/>
      <c r="EY139" s="744"/>
      <c r="EZ139" s="744"/>
      <c r="FA139" s="744"/>
      <c r="FB139" s="744"/>
      <c r="FC139" s="744"/>
      <c r="FD139" s="744"/>
      <c r="FE139" s="744"/>
      <c r="FF139" s="744"/>
      <c r="FG139" s="744"/>
      <c r="FH139" s="744"/>
      <c r="FI139" s="744"/>
      <c r="FJ139" s="744"/>
      <c r="FK139" s="744"/>
      <c r="FL139" s="744"/>
      <c r="FM139" s="744"/>
      <c r="FN139" s="744"/>
      <c r="FO139" s="744"/>
      <c r="FP139" s="744"/>
      <c r="FQ139" s="744"/>
      <c r="FR139" s="744"/>
      <c r="FS139" s="744"/>
      <c r="FT139" s="744"/>
      <c r="FU139" s="744"/>
      <c r="FV139" s="744"/>
      <c r="FW139" s="744"/>
      <c r="FX139" s="744"/>
      <c r="FY139" s="744"/>
      <c r="FZ139" s="744"/>
      <c r="GA139" s="744"/>
      <c r="GB139" s="744"/>
      <c r="GC139" s="744"/>
      <c r="GD139" s="744"/>
      <c r="GE139" s="744"/>
      <c r="GF139" s="744"/>
      <c r="GG139" s="744"/>
      <c r="GH139" s="744"/>
      <c r="GI139" s="744"/>
      <c r="GJ139" s="744"/>
      <c r="GK139" s="744"/>
      <c r="GL139" s="744"/>
      <c r="GM139" s="744"/>
      <c r="GN139" s="744"/>
      <c r="GO139" s="744"/>
      <c r="GP139" s="744"/>
      <c r="GQ139" s="744"/>
      <c r="GR139" s="744"/>
      <c r="GS139" s="744"/>
      <c r="GT139" s="744"/>
      <c r="GU139" s="744"/>
      <c r="GV139" s="744"/>
      <c r="GW139" s="744"/>
      <c r="GX139" s="744"/>
      <c r="GY139" s="744"/>
      <c r="GZ139" s="744"/>
      <c r="HA139" s="744"/>
      <c r="HB139" s="744"/>
      <c r="HC139" s="744"/>
      <c r="HD139" s="744"/>
      <c r="HE139" s="744"/>
      <c r="HF139" s="744"/>
      <c r="HG139" s="744"/>
      <c r="HH139" s="744"/>
      <c r="HI139" s="744"/>
      <c r="HJ139" s="744"/>
      <c r="HK139" s="744"/>
      <c r="HL139" s="744"/>
      <c r="HM139" s="744"/>
      <c r="HN139" s="744"/>
      <c r="HO139" s="744"/>
      <c r="HP139" s="744"/>
      <c r="HQ139" s="744"/>
      <c r="HR139" s="744"/>
      <c r="HS139" s="744"/>
      <c r="HT139" s="744"/>
      <c r="HU139" s="744"/>
      <c r="HV139" s="744"/>
      <c r="HW139" s="744"/>
      <c r="HX139" s="744"/>
      <c r="HY139" s="744"/>
      <c r="HZ139" s="744"/>
      <c r="IA139" s="744"/>
      <c r="IB139" s="744"/>
      <c r="IC139" s="744"/>
      <c r="ID139" s="744"/>
      <c r="IE139" s="744"/>
      <c r="IF139" s="744"/>
      <c r="IG139" s="744"/>
      <c r="IH139" s="744"/>
      <c r="II139" s="744"/>
      <c r="IJ139" s="744"/>
      <c r="IK139" s="744"/>
      <c r="IL139" s="744"/>
      <c r="IM139" s="744"/>
      <c r="IN139" s="744"/>
      <c r="IO139" s="744"/>
      <c r="IP139" s="744"/>
      <c r="IQ139" s="744"/>
      <c r="IR139" s="744"/>
      <c r="IS139" s="744"/>
    </row>
    <row r="140" s="73" customFormat="1" ht="15" spans="1:253">
      <c r="A140" s="709" t="s">
        <v>252</v>
      </c>
      <c r="B140" s="682" t="s">
        <v>253</v>
      </c>
      <c r="C140" s="732" t="s">
        <v>254</v>
      </c>
      <c r="D140" s="729" t="s">
        <v>56</v>
      </c>
      <c r="E140" s="733">
        <f>'PB VI - Memorial'!G176</f>
        <v>7.83</v>
      </c>
      <c r="F140" s="711">
        <v>14.16</v>
      </c>
      <c r="G140" s="711">
        <f t="shared" ref="G140:G146" si="14">ROUND(E140*F140,2)</f>
        <v>110.87</v>
      </c>
      <c r="H140" s="724"/>
      <c r="I140" s="724"/>
      <c r="J140" s="724"/>
      <c r="K140" s="724"/>
      <c r="L140" s="724"/>
      <c r="M140" s="724"/>
      <c r="N140" s="741"/>
      <c r="O140" s="741"/>
      <c r="P140" s="741"/>
      <c r="Q140" s="741"/>
      <c r="R140" s="741"/>
      <c r="S140" s="741"/>
      <c r="T140" s="741"/>
      <c r="U140" s="741"/>
      <c r="V140" s="741"/>
      <c r="W140" s="741"/>
      <c r="X140" s="741"/>
      <c r="Y140" s="741"/>
      <c r="Z140" s="741"/>
      <c r="AA140" s="741"/>
      <c r="AB140" s="741"/>
      <c r="AC140" s="741"/>
      <c r="AD140" s="741"/>
      <c r="AE140" s="741"/>
      <c r="AF140" s="741"/>
      <c r="AG140" s="741"/>
      <c r="AH140" s="741"/>
      <c r="AI140" s="741"/>
      <c r="AJ140" s="741"/>
      <c r="AK140" s="741"/>
      <c r="AL140" s="741"/>
      <c r="AM140" s="741"/>
      <c r="AN140" s="741"/>
      <c r="AO140" s="741"/>
      <c r="AP140" s="741"/>
      <c r="AQ140" s="741"/>
      <c r="AR140" s="741"/>
      <c r="AS140" s="741"/>
      <c r="AT140" s="741"/>
      <c r="AU140" s="741"/>
      <c r="AV140" s="741"/>
      <c r="AW140" s="741"/>
      <c r="AX140" s="741"/>
      <c r="AY140" s="741"/>
      <c r="AZ140" s="741"/>
      <c r="BA140" s="741"/>
      <c r="BB140" s="741"/>
      <c r="BC140" s="741"/>
      <c r="BD140" s="741"/>
      <c r="BE140" s="741"/>
      <c r="BF140" s="741"/>
      <c r="BG140" s="741"/>
      <c r="BH140" s="741"/>
      <c r="BI140" s="741"/>
      <c r="BJ140" s="741"/>
      <c r="BK140" s="741"/>
      <c r="BL140" s="741"/>
      <c r="BM140" s="741"/>
      <c r="BN140" s="741"/>
      <c r="BO140" s="741"/>
      <c r="BP140" s="741"/>
      <c r="BQ140" s="741"/>
      <c r="BR140" s="741"/>
      <c r="BS140" s="741"/>
      <c r="BT140" s="741"/>
      <c r="BU140" s="741"/>
      <c r="BV140" s="741"/>
      <c r="BW140" s="744"/>
      <c r="BX140" s="744"/>
      <c r="BY140" s="744"/>
      <c r="BZ140" s="744"/>
      <c r="CA140" s="744"/>
      <c r="CB140" s="744"/>
      <c r="CC140" s="744"/>
      <c r="CD140" s="744"/>
      <c r="CE140" s="744"/>
      <c r="CF140" s="744"/>
      <c r="CG140" s="744"/>
      <c r="CH140" s="744"/>
      <c r="CI140" s="744"/>
      <c r="CJ140" s="744"/>
      <c r="CK140" s="744"/>
      <c r="CL140" s="744"/>
      <c r="CM140" s="744"/>
      <c r="CN140" s="744"/>
      <c r="CO140" s="744"/>
      <c r="CP140" s="744"/>
      <c r="CQ140" s="744"/>
      <c r="CR140" s="744"/>
      <c r="CS140" s="744"/>
      <c r="CT140" s="744"/>
      <c r="CU140" s="744"/>
      <c r="CV140" s="744"/>
      <c r="CW140" s="744"/>
      <c r="CX140" s="744"/>
      <c r="CY140" s="744"/>
      <c r="CZ140" s="744"/>
      <c r="DA140" s="744"/>
      <c r="DB140" s="744"/>
      <c r="DC140" s="744"/>
      <c r="DD140" s="744"/>
      <c r="DE140" s="744"/>
      <c r="DF140" s="744"/>
      <c r="DG140" s="744"/>
      <c r="DH140" s="744"/>
      <c r="DI140" s="744"/>
      <c r="DJ140" s="744"/>
      <c r="DK140" s="744"/>
      <c r="DL140" s="744"/>
      <c r="DM140" s="744"/>
      <c r="DN140" s="744"/>
      <c r="DO140" s="744"/>
      <c r="DP140" s="744"/>
      <c r="DQ140" s="744"/>
      <c r="DR140" s="744"/>
      <c r="DS140" s="744"/>
      <c r="DT140" s="744"/>
      <c r="DU140" s="744"/>
      <c r="DV140" s="744"/>
      <c r="DW140" s="744"/>
      <c r="DX140" s="744"/>
      <c r="DY140" s="744"/>
      <c r="DZ140" s="744"/>
      <c r="EA140" s="744"/>
      <c r="EB140" s="744"/>
      <c r="EC140" s="744"/>
      <c r="ED140" s="744"/>
      <c r="EE140" s="744"/>
      <c r="EF140" s="744"/>
      <c r="EG140" s="744"/>
      <c r="EH140" s="744"/>
      <c r="EI140" s="744"/>
      <c r="EJ140" s="744"/>
      <c r="EK140" s="744"/>
      <c r="EL140" s="744"/>
      <c r="EM140" s="744"/>
      <c r="EN140" s="744"/>
      <c r="EO140" s="744"/>
      <c r="EP140" s="744"/>
      <c r="EQ140" s="744"/>
      <c r="ER140" s="744"/>
      <c r="ES140" s="744"/>
      <c r="ET140" s="744"/>
      <c r="EU140" s="744"/>
      <c r="EV140" s="744"/>
      <c r="EW140" s="744"/>
      <c r="EX140" s="744"/>
      <c r="EY140" s="744"/>
      <c r="EZ140" s="744"/>
      <c r="FA140" s="744"/>
      <c r="FB140" s="744"/>
      <c r="FC140" s="744"/>
      <c r="FD140" s="744"/>
      <c r="FE140" s="744"/>
      <c r="FF140" s="744"/>
      <c r="FG140" s="744"/>
      <c r="FH140" s="744"/>
      <c r="FI140" s="744"/>
      <c r="FJ140" s="744"/>
      <c r="FK140" s="744"/>
      <c r="FL140" s="744"/>
      <c r="FM140" s="744"/>
      <c r="FN140" s="744"/>
      <c r="FO140" s="744"/>
      <c r="FP140" s="744"/>
      <c r="FQ140" s="744"/>
      <c r="FR140" s="744"/>
      <c r="FS140" s="744"/>
      <c r="FT140" s="744"/>
      <c r="FU140" s="744"/>
      <c r="FV140" s="744"/>
      <c r="FW140" s="744"/>
      <c r="FX140" s="744"/>
      <c r="FY140" s="744"/>
      <c r="FZ140" s="744"/>
      <c r="GA140" s="744"/>
      <c r="GB140" s="744"/>
      <c r="GC140" s="744"/>
      <c r="GD140" s="744"/>
      <c r="GE140" s="744"/>
      <c r="GF140" s="744"/>
      <c r="GG140" s="744"/>
      <c r="GH140" s="744"/>
      <c r="GI140" s="744"/>
      <c r="GJ140" s="744"/>
      <c r="GK140" s="744"/>
      <c r="GL140" s="744"/>
      <c r="GM140" s="744"/>
      <c r="GN140" s="744"/>
      <c r="GO140" s="744"/>
      <c r="GP140" s="744"/>
      <c r="GQ140" s="744"/>
      <c r="GR140" s="744"/>
      <c r="GS140" s="744"/>
      <c r="GT140" s="744"/>
      <c r="GU140" s="744"/>
      <c r="GV140" s="744"/>
      <c r="GW140" s="744"/>
      <c r="GX140" s="744"/>
      <c r="GY140" s="744"/>
      <c r="GZ140" s="744"/>
      <c r="HA140" s="744"/>
      <c r="HB140" s="744"/>
      <c r="HC140" s="744"/>
      <c r="HD140" s="744"/>
      <c r="HE140" s="744"/>
      <c r="HF140" s="744"/>
      <c r="HG140" s="744"/>
      <c r="HH140" s="744"/>
      <c r="HI140" s="744"/>
      <c r="HJ140" s="744"/>
      <c r="HK140" s="744"/>
      <c r="HL140" s="744"/>
      <c r="HM140" s="744"/>
      <c r="HN140" s="744"/>
      <c r="HO140" s="744"/>
      <c r="HP140" s="744"/>
      <c r="HQ140" s="744"/>
      <c r="HR140" s="744"/>
      <c r="HS140" s="744"/>
      <c r="HT140" s="744"/>
      <c r="HU140" s="744"/>
      <c r="HV140" s="744"/>
      <c r="HW140" s="744"/>
      <c r="HX140" s="744"/>
      <c r="HY140" s="744"/>
      <c r="HZ140" s="744"/>
      <c r="IA140" s="744"/>
      <c r="IB140" s="744"/>
      <c r="IC140" s="744"/>
      <c r="ID140" s="744"/>
      <c r="IE140" s="744"/>
      <c r="IF140" s="744"/>
      <c r="IG140" s="744"/>
      <c r="IH140" s="744"/>
      <c r="II140" s="744"/>
      <c r="IJ140" s="744"/>
      <c r="IK140" s="744"/>
      <c r="IL140" s="744"/>
      <c r="IM140" s="744"/>
      <c r="IN140" s="744"/>
      <c r="IO140" s="744"/>
      <c r="IP140" s="744"/>
      <c r="IQ140" s="744"/>
      <c r="IR140" s="744"/>
      <c r="IS140" s="744"/>
    </row>
    <row r="141" s="73" customFormat="1" ht="15" spans="1:253">
      <c r="A141" s="709" t="s">
        <v>132</v>
      </c>
      <c r="B141" s="682" t="s">
        <v>255</v>
      </c>
      <c r="C141" s="732" t="s">
        <v>256</v>
      </c>
      <c r="D141" s="729" t="s">
        <v>56</v>
      </c>
      <c r="E141" s="733">
        <f>E140</f>
        <v>7.83</v>
      </c>
      <c r="F141" s="711">
        <v>39.63</v>
      </c>
      <c r="G141" s="711">
        <f t="shared" si="14"/>
        <v>310.3</v>
      </c>
      <c r="H141" s="724"/>
      <c r="I141" s="724"/>
      <c r="J141" s="724"/>
      <c r="K141" s="724"/>
      <c r="L141" s="724"/>
      <c r="M141" s="724"/>
      <c r="N141" s="741"/>
      <c r="O141" s="741"/>
      <c r="P141" s="741"/>
      <c r="Q141" s="741"/>
      <c r="R141" s="741"/>
      <c r="S141" s="741"/>
      <c r="T141" s="741"/>
      <c r="U141" s="741"/>
      <c r="V141" s="741"/>
      <c r="W141" s="741"/>
      <c r="X141" s="741"/>
      <c r="Y141" s="741"/>
      <c r="Z141" s="741"/>
      <c r="AA141" s="741"/>
      <c r="AB141" s="741"/>
      <c r="AC141" s="741"/>
      <c r="AD141" s="741"/>
      <c r="AE141" s="741"/>
      <c r="AF141" s="741"/>
      <c r="AG141" s="741"/>
      <c r="AH141" s="741"/>
      <c r="AI141" s="741"/>
      <c r="AJ141" s="741"/>
      <c r="AK141" s="741"/>
      <c r="AL141" s="741"/>
      <c r="AM141" s="741"/>
      <c r="AN141" s="741"/>
      <c r="AO141" s="741"/>
      <c r="AP141" s="741"/>
      <c r="AQ141" s="741"/>
      <c r="AR141" s="741"/>
      <c r="AS141" s="741"/>
      <c r="AT141" s="741"/>
      <c r="AU141" s="741"/>
      <c r="AV141" s="741"/>
      <c r="AW141" s="741"/>
      <c r="AX141" s="741"/>
      <c r="AY141" s="741"/>
      <c r="AZ141" s="741"/>
      <c r="BA141" s="741"/>
      <c r="BB141" s="741"/>
      <c r="BC141" s="741"/>
      <c r="BD141" s="741"/>
      <c r="BE141" s="741"/>
      <c r="BF141" s="741"/>
      <c r="BG141" s="741"/>
      <c r="BH141" s="741"/>
      <c r="BI141" s="741"/>
      <c r="BJ141" s="741"/>
      <c r="BK141" s="741"/>
      <c r="BL141" s="741"/>
      <c r="BM141" s="741"/>
      <c r="BN141" s="741"/>
      <c r="BO141" s="741"/>
      <c r="BP141" s="741"/>
      <c r="BQ141" s="741"/>
      <c r="BR141" s="741"/>
      <c r="BS141" s="741"/>
      <c r="BT141" s="741"/>
      <c r="BU141" s="741"/>
      <c r="BV141" s="741"/>
      <c r="BW141" s="744"/>
      <c r="BX141" s="744"/>
      <c r="BY141" s="744"/>
      <c r="BZ141" s="744"/>
      <c r="CA141" s="744"/>
      <c r="CB141" s="744"/>
      <c r="CC141" s="744"/>
      <c r="CD141" s="744"/>
      <c r="CE141" s="744"/>
      <c r="CF141" s="744"/>
      <c r="CG141" s="744"/>
      <c r="CH141" s="744"/>
      <c r="CI141" s="744"/>
      <c r="CJ141" s="744"/>
      <c r="CK141" s="744"/>
      <c r="CL141" s="744"/>
      <c r="CM141" s="744"/>
      <c r="CN141" s="744"/>
      <c r="CO141" s="744"/>
      <c r="CP141" s="744"/>
      <c r="CQ141" s="744"/>
      <c r="CR141" s="744"/>
      <c r="CS141" s="744"/>
      <c r="CT141" s="744"/>
      <c r="CU141" s="744"/>
      <c r="CV141" s="744"/>
      <c r="CW141" s="744"/>
      <c r="CX141" s="744"/>
      <c r="CY141" s="744"/>
      <c r="CZ141" s="744"/>
      <c r="DA141" s="744"/>
      <c r="DB141" s="744"/>
      <c r="DC141" s="744"/>
      <c r="DD141" s="744"/>
      <c r="DE141" s="744"/>
      <c r="DF141" s="744"/>
      <c r="DG141" s="744"/>
      <c r="DH141" s="744"/>
      <c r="DI141" s="744"/>
      <c r="DJ141" s="744"/>
      <c r="DK141" s="744"/>
      <c r="DL141" s="744"/>
      <c r="DM141" s="744"/>
      <c r="DN141" s="744"/>
      <c r="DO141" s="744"/>
      <c r="DP141" s="744"/>
      <c r="DQ141" s="744"/>
      <c r="DR141" s="744"/>
      <c r="DS141" s="744"/>
      <c r="DT141" s="744"/>
      <c r="DU141" s="744"/>
      <c r="DV141" s="744"/>
      <c r="DW141" s="744"/>
      <c r="DX141" s="744"/>
      <c r="DY141" s="744"/>
      <c r="DZ141" s="744"/>
      <c r="EA141" s="744"/>
      <c r="EB141" s="744"/>
      <c r="EC141" s="744"/>
      <c r="ED141" s="744"/>
      <c r="EE141" s="744"/>
      <c r="EF141" s="744"/>
      <c r="EG141" s="744"/>
      <c r="EH141" s="744"/>
      <c r="EI141" s="744"/>
      <c r="EJ141" s="744"/>
      <c r="EK141" s="744"/>
      <c r="EL141" s="744"/>
      <c r="EM141" s="744"/>
      <c r="EN141" s="744"/>
      <c r="EO141" s="744"/>
      <c r="EP141" s="744"/>
      <c r="EQ141" s="744"/>
      <c r="ER141" s="744"/>
      <c r="ES141" s="744"/>
      <c r="ET141" s="744"/>
      <c r="EU141" s="744"/>
      <c r="EV141" s="744"/>
      <c r="EW141" s="744"/>
      <c r="EX141" s="744"/>
      <c r="EY141" s="744"/>
      <c r="EZ141" s="744"/>
      <c r="FA141" s="744"/>
      <c r="FB141" s="744"/>
      <c r="FC141" s="744"/>
      <c r="FD141" s="744"/>
      <c r="FE141" s="744"/>
      <c r="FF141" s="744"/>
      <c r="FG141" s="744"/>
      <c r="FH141" s="744"/>
      <c r="FI141" s="744"/>
      <c r="FJ141" s="744"/>
      <c r="FK141" s="744"/>
      <c r="FL141" s="744"/>
      <c r="FM141" s="744"/>
      <c r="FN141" s="744"/>
      <c r="FO141" s="744"/>
      <c r="FP141" s="744"/>
      <c r="FQ141" s="744"/>
      <c r="FR141" s="744"/>
      <c r="FS141" s="744"/>
      <c r="FT141" s="744"/>
      <c r="FU141" s="744"/>
      <c r="FV141" s="744"/>
      <c r="FW141" s="744"/>
      <c r="FX141" s="744"/>
      <c r="FY141" s="744"/>
      <c r="FZ141" s="744"/>
      <c r="GA141" s="744"/>
      <c r="GB141" s="744"/>
      <c r="GC141" s="744"/>
      <c r="GD141" s="744"/>
      <c r="GE141" s="744"/>
      <c r="GF141" s="744"/>
      <c r="GG141" s="744"/>
      <c r="GH141" s="744"/>
      <c r="GI141" s="744"/>
      <c r="GJ141" s="744"/>
      <c r="GK141" s="744"/>
      <c r="GL141" s="744"/>
      <c r="GM141" s="744"/>
      <c r="GN141" s="744"/>
      <c r="GO141" s="744"/>
      <c r="GP141" s="744"/>
      <c r="GQ141" s="744"/>
      <c r="GR141" s="744"/>
      <c r="GS141" s="744"/>
      <c r="GT141" s="744"/>
      <c r="GU141" s="744"/>
      <c r="GV141" s="744"/>
      <c r="GW141" s="744"/>
      <c r="GX141" s="744"/>
      <c r="GY141" s="744"/>
      <c r="GZ141" s="744"/>
      <c r="HA141" s="744"/>
      <c r="HB141" s="744"/>
      <c r="HC141" s="744"/>
      <c r="HD141" s="744"/>
      <c r="HE141" s="744"/>
      <c r="HF141" s="744"/>
      <c r="HG141" s="744"/>
      <c r="HH141" s="744"/>
      <c r="HI141" s="744"/>
      <c r="HJ141" s="744"/>
      <c r="HK141" s="744"/>
      <c r="HL141" s="744"/>
      <c r="HM141" s="744"/>
      <c r="HN141" s="744"/>
      <c r="HO141" s="744"/>
      <c r="HP141" s="744"/>
      <c r="HQ141" s="744"/>
      <c r="HR141" s="744"/>
      <c r="HS141" s="744"/>
      <c r="HT141" s="744"/>
      <c r="HU141" s="744"/>
      <c r="HV141" s="744"/>
      <c r="HW141" s="744"/>
      <c r="HX141" s="744"/>
      <c r="HY141" s="744"/>
      <c r="HZ141" s="744"/>
      <c r="IA141" s="744"/>
      <c r="IB141" s="744"/>
      <c r="IC141" s="744"/>
      <c r="ID141" s="744"/>
      <c r="IE141" s="744"/>
      <c r="IF141" s="744"/>
      <c r="IG141" s="744"/>
      <c r="IH141" s="744"/>
      <c r="II141" s="744"/>
      <c r="IJ141" s="744"/>
      <c r="IK141" s="744"/>
      <c r="IL141" s="744"/>
      <c r="IM141" s="744"/>
      <c r="IN141" s="744"/>
      <c r="IO141" s="744"/>
      <c r="IP141" s="744"/>
      <c r="IQ141" s="744"/>
      <c r="IR141" s="744"/>
      <c r="IS141" s="744"/>
    </row>
    <row r="142" s="73" customFormat="1" ht="45" spans="1:253">
      <c r="A142" s="709" t="s">
        <v>257</v>
      </c>
      <c r="B142" s="682" t="s">
        <v>258</v>
      </c>
      <c r="C142" s="732" t="s">
        <v>259</v>
      </c>
      <c r="D142" s="729" t="s">
        <v>56</v>
      </c>
      <c r="E142" s="745">
        <f>'PB VI - Memorial'!G199</f>
        <v>19.567</v>
      </c>
      <c r="F142" s="711">
        <v>522.23</v>
      </c>
      <c r="G142" s="711">
        <f t="shared" si="14"/>
        <v>10218.47</v>
      </c>
      <c r="H142" s="724"/>
      <c r="I142" s="724"/>
      <c r="J142" s="724"/>
      <c r="K142" s="724"/>
      <c r="L142" s="724"/>
      <c r="M142" s="724"/>
      <c r="N142" s="741"/>
      <c r="O142" s="741"/>
      <c r="P142" s="741"/>
      <c r="Q142" s="741"/>
      <c r="R142" s="741"/>
      <c r="S142" s="741"/>
      <c r="T142" s="741"/>
      <c r="U142" s="741"/>
      <c r="V142" s="741"/>
      <c r="W142" s="741"/>
      <c r="X142" s="741"/>
      <c r="Y142" s="741"/>
      <c r="Z142" s="741"/>
      <c r="AA142" s="741"/>
      <c r="AB142" s="741"/>
      <c r="AC142" s="741"/>
      <c r="AD142" s="741"/>
      <c r="AE142" s="741"/>
      <c r="AF142" s="741"/>
      <c r="AG142" s="741"/>
      <c r="AH142" s="741"/>
      <c r="AI142" s="741"/>
      <c r="AJ142" s="741"/>
      <c r="AK142" s="741"/>
      <c r="AL142" s="741"/>
      <c r="AM142" s="741"/>
      <c r="AN142" s="741"/>
      <c r="AO142" s="741"/>
      <c r="AP142" s="741"/>
      <c r="AQ142" s="741"/>
      <c r="AR142" s="741"/>
      <c r="AS142" s="741"/>
      <c r="AT142" s="741"/>
      <c r="AU142" s="741"/>
      <c r="AV142" s="741"/>
      <c r="AW142" s="741"/>
      <c r="AX142" s="741"/>
      <c r="AY142" s="741"/>
      <c r="AZ142" s="741"/>
      <c r="BA142" s="741"/>
      <c r="BB142" s="741"/>
      <c r="BC142" s="741"/>
      <c r="BD142" s="741"/>
      <c r="BE142" s="741"/>
      <c r="BF142" s="741"/>
      <c r="BG142" s="741"/>
      <c r="BH142" s="741"/>
      <c r="BI142" s="741"/>
      <c r="BJ142" s="741"/>
      <c r="BK142" s="741"/>
      <c r="BL142" s="741"/>
      <c r="BM142" s="741"/>
      <c r="BN142" s="741"/>
      <c r="BO142" s="741"/>
      <c r="BP142" s="741"/>
      <c r="BQ142" s="741"/>
      <c r="BR142" s="741"/>
      <c r="BS142" s="741"/>
      <c r="BT142" s="741"/>
      <c r="BU142" s="741"/>
      <c r="BV142" s="741"/>
      <c r="BW142" s="744"/>
      <c r="BX142" s="744"/>
      <c r="BY142" s="744"/>
      <c r="BZ142" s="744"/>
      <c r="CA142" s="744"/>
      <c r="CB142" s="744"/>
      <c r="CC142" s="744"/>
      <c r="CD142" s="744"/>
      <c r="CE142" s="744"/>
      <c r="CF142" s="744"/>
      <c r="CG142" s="744"/>
      <c r="CH142" s="744"/>
      <c r="CI142" s="744"/>
      <c r="CJ142" s="744"/>
      <c r="CK142" s="744"/>
      <c r="CL142" s="744"/>
      <c r="CM142" s="744"/>
      <c r="CN142" s="744"/>
      <c r="CO142" s="744"/>
      <c r="CP142" s="744"/>
      <c r="CQ142" s="744"/>
      <c r="CR142" s="744"/>
      <c r="CS142" s="744"/>
      <c r="CT142" s="744"/>
      <c r="CU142" s="744"/>
      <c r="CV142" s="744"/>
      <c r="CW142" s="744"/>
      <c r="CX142" s="744"/>
      <c r="CY142" s="744"/>
      <c r="CZ142" s="744"/>
      <c r="DA142" s="744"/>
      <c r="DB142" s="744"/>
      <c r="DC142" s="744"/>
      <c r="DD142" s="744"/>
      <c r="DE142" s="744"/>
      <c r="DF142" s="744"/>
      <c r="DG142" s="744"/>
      <c r="DH142" s="744"/>
      <c r="DI142" s="744"/>
      <c r="DJ142" s="744"/>
      <c r="DK142" s="744"/>
      <c r="DL142" s="744"/>
      <c r="DM142" s="744"/>
      <c r="DN142" s="744"/>
      <c r="DO142" s="744"/>
      <c r="DP142" s="744"/>
      <c r="DQ142" s="744"/>
      <c r="DR142" s="744"/>
      <c r="DS142" s="744"/>
      <c r="DT142" s="744"/>
      <c r="DU142" s="744"/>
      <c r="DV142" s="744"/>
      <c r="DW142" s="744"/>
      <c r="DX142" s="744"/>
      <c r="DY142" s="744"/>
      <c r="DZ142" s="744"/>
      <c r="EA142" s="744"/>
      <c r="EB142" s="744"/>
      <c r="EC142" s="744"/>
      <c r="ED142" s="744"/>
      <c r="EE142" s="744"/>
      <c r="EF142" s="744"/>
      <c r="EG142" s="744"/>
      <c r="EH142" s="744"/>
      <c r="EI142" s="744"/>
      <c r="EJ142" s="744"/>
      <c r="EK142" s="744"/>
      <c r="EL142" s="744"/>
      <c r="EM142" s="744"/>
      <c r="EN142" s="744"/>
      <c r="EO142" s="744"/>
      <c r="EP142" s="744"/>
      <c r="EQ142" s="744"/>
      <c r="ER142" s="744"/>
      <c r="ES142" s="744"/>
      <c r="ET142" s="744"/>
      <c r="EU142" s="744"/>
      <c r="EV142" s="744"/>
      <c r="EW142" s="744"/>
      <c r="EX142" s="744"/>
      <c r="EY142" s="744"/>
      <c r="EZ142" s="744"/>
      <c r="FA142" s="744"/>
      <c r="FB142" s="744"/>
      <c r="FC142" s="744"/>
      <c r="FD142" s="744"/>
      <c r="FE142" s="744"/>
      <c r="FF142" s="744"/>
      <c r="FG142" s="744"/>
      <c r="FH142" s="744"/>
      <c r="FI142" s="744"/>
      <c r="FJ142" s="744"/>
      <c r="FK142" s="744"/>
      <c r="FL142" s="744"/>
      <c r="FM142" s="744"/>
      <c r="FN142" s="744"/>
      <c r="FO142" s="744"/>
      <c r="FP142" s="744"/>
      <c r="FQ142" s="744"/>
      <c r="FR142" s="744"/>
      <c r="FS142" s="744"/>
      <c r="FT142" s="744"/>
      <c r="FU142" s="744"/>
      <c r="FV142" s="744"/>
      <c r="FW142" s="744"/>
      <c r="FX142" s="744"/>
      <c r="FY142" s="744"/>
      <c r="FZ142" s="744"/>
      <c r="GA142" s="744"/>
      <c r="GB142" s="744"/>
      <c r="GC142" s="744"/>
      <c r="GD142" s="744"/>
      <c r="GE142" s="744"/>
      <c r="GF142" s="744"/>
      <c r="GG142" s="744"/>
      <c r="GH142" s="744"/>
      <c r="GI142" s="744"/>
      <c r="GJ142" s="744"/>
      <c r="GK142" s="744"/>
      <c r="GL142" s="744"/>
      <c r="GM142" s="744"/>
      <c r="GN142" s="744"/>
      <c r="GO142" s="744"/>
      <c r="GP142" s="744"/>
      <c r="GQ142" s="744"/>
      <c r="GR142" s="744"/>
      <c r="GS142" s="744"/>
      <c r="GT142" s="744"/>
      <c r="GU142" s="744"/>
      <c r="GV142" s="744"/>
      <c r="GW142" s="744"/>
      <c r="GX142" s="744"/>
      <c r="GY142" s="744"/>
      <c r="GZ142" s="744"/>
      <c r="HA142" s="744"/>
      <c r="HB142" s="744"/>
      <c r="HC142" s="744"/>
      <c r="HD142" s="744"/>
      <c r="HE142" s="744"/>
      <c r="HF142" s="744"/>
      <c r="HG142" s="744"/>
      <c r="HH142" s="744"/>
      <c r="HI142" s="744"/>
      <c r="HJ142" s="744"/>
      <c r="HK142" s="744"/>
      <c r="HL142" s="744"/>
      <c r="HM142" s="744"/>
      <c r="HN142" s="744"/>
      <c r="HO142" s="744"/>
      <c r="HP142" s="744"/>
      <c r="HQ142" s="744"/>
      <c r="HR142" s="744"/>
      <c r="HS142" s="744"/>
      <c r="HT142" s="744"/>
      <c r="HU142" s="744"/>
      <c r="HV142" s="744"/>
      <c r="HW142" s="744"/>
      <c r="HX142" s="744"/>
      <c r="HY142" s="744"/>
      <c r="HZ142" s="744"/>
      <c r="IA142" s="744"/>
      <c r="IB142" s="744"/>
      <c r="IC142" s="744"/>
      <c r="ID142" s="744"/>
      <c r="IE142" s="744"/>
      <c r="IF142" s="744"/>
      <c r="IG142" s="744"/>
      <c r="IH142" s="744"/>
      <c r="II142" s="744"/>
      <c r="IJ142" s="744"/>
      <c r="IK142" s="744"/>
      <c r="IL142" s="744"/>
      <c r="IM142" s="744"/>
      <c r="IN142" s="744"/>
      <c r="IO142" s="744"/>
      <c r="IP142" s="744"/>
      <c r="IQ142" s="744"/>
      <c r="IR142" s="744"/>
      <c r="IS142" s="744"/>
    </row>
    <row r="143" s="73" customFormat="1" ht="22.5" spans="1:253">
      <c r="A143" s="709" t="s">
        <v>260</v>
      </c>
      <c r="B143" s="682" t="s">
        <v>261</v>
      </c>
      <c r="C143" s="732" t="s">
        <v>262</v>
      </c>
      <c r="D143" s="729" t="s">
        <v>17</v>
      </c>
      <c r="E143" s="745">
        <f>'PB VI - Memorial'!G197</f>
        <v>195.67</v>
      </c>
      <c r="F143" s="711">
        <v>39.1</v>
      </c>
      <c r="G143" s="711">
        <f t="shared" si="14"/>
        <v>7650.7</v>
      </c>
      <c r="H143" s="724"/>
      <c r="I143" s="724"/>
      <c r="J143" s="724"/>
      <c r="K143" s="724"/>
      <c r="L143" s="724"/>
      <c r="M143" s="724"/>
      <c r="N143" s="741"/>
      <c r="O143" s="741"/>
      <c r="P143" s="741"/>
      <c r="Q143" s="741"/>
      <c r="R143" s="741"/>
      <c r="S143" s="741"/>
      <c r="T143" s="741"/>
      <c r="U143" s="741"/>
      <c r="V143" s="741"/>
      <c r="W143" s="741"/>
      <c r="X143" s="741"/>
      <c r="Y143" s="741"/>
      <c r="Z143" s="741"/>
      <c r="AA143" s="741"/>
      <c r="AB143" s="741"/>
      <c r="AC143" s="741"/>
      <c r="AD143" s="741"/>
      <c r="AE143" s="741"/>
      <c r="AF143" s="741"/>
      <c r="AG143" s="741"/>
      <c r="AH143" s="741"/>
      <c r="AI143" s="741"/>
      <c r="AJ143" s="741"/>
      <c r="AK143" s="741"/>
      <c r="AL143" s="741"/>
      <c r="AM143" s="741"/>
      <c r="AN143" s="741"/>
      <c r="AO143" s="741"/>
      <c r="AP143" s="741"/>
      <c r="AQ143" s="741"/>
      <c r="AR143" s="741"/>
      <c r="AS143" s="741"/>
      <c r="AT143" s="741"/>
      <c r="AU143" s="741"/>
      <c r="AV143" s="741"/>
      <c r="AW143" s="741"/>
      <c r="AX143" s="741"/>
      <c r="AY143" s="741"/>
      <c r="AZ143" s="741"/>
      <c r="BA143" s="741"/>
      <c r="BB143" s="741"/>
      <c r="BC143" s="741"/>
      <c r="BD143" s="741"/>
      <c r="BE143" s="741"/>
      <c r="BF143" s="741"/>
      <c r="BG143" s="741"/>
      <c r="BH143" s="741"/>
      <c r="BI143" s="741"/>
      <c r="BJ143" s="741"/>
      <c r="BK143" s="741"/>
      <c r="BL143" s="741"/>
      <c r="BM143" s="741"/>
      <c r="BN143" s="741"/>
      <c r="BO143" s="741"/>
      <c r="BP143" s="741"/>
      <c r="BQ143" s="741"/>
      <c r="BR143" s="741"/>
      <c r="BS143" s="741"/>
      <c r="BT143" s="741"/>
      <c r="BU143" s="741"/>
      <c r="BV143" s="741"/>
      <c r="BW143" s="744"/>
      <c r="BX143" s="744"/>
      <c r="BY143" s="744"/>
      <c r="BZ143" s="744"/>
      <c r="CA143" s="744"/>
      <c r="CB143" s="744"/>
      <c r="CC143" s="744"/>
      <c r="CD143" s="744"/>
      <c r="CE143" s="744"/>
      <c r="CF143" s="744"/>
      <c r="CG143" s="744"/>
      <c r="CH143" s="744"/>
      <c r="CI143" s="744"/>
      <c r="CJ143" s="744"/>
      <c r="CK143" s="744"/>
      <c r="CL143" s="744"/>
      <c r="CM143" s="744"/>
      <c r="CN143" s="744"/>
      <c r="CO143" s="744"/>
      <c r="CP143" s="744"/>
      <c r="CQ143" s="744"/>
      <c r="CR143" s="744"/>
      <c r="CS143" s="744"/>
      <c r="CT143" s="744"/>
      <c r="CU143" s="744"/>
      <c r="CV143" s="744"/>
      <c r="CW143" s="744"/>
      <c r="CX143" s="744"/>
      <c r="CY143" s="744"/>
      <c r="CZ143" s="744"/>
      <c r="DA143" s="744"/>
      <c r="DB143" s="744"/>
      <c r="DC143" s="744"/>
      <c r="DD143" s="744"/>
      <c r="DE143" s="744"/>
      <c r="DF143" s="744"/>
      <c r="DG143" s="744"/>
      <c r="DH143" s="744"/>
      <c r="DI143" s="744"/>
      <c r="DJ143" s="744"/>
      <c r="DK143" s="744"/>
      <c r="DL143" s="744"/>
      <c r="DM143" s="744"/>
      <c r="DN143" s="744"/>
      <c r="DO143" s="744"/>
      <c r="DP143" s="744"/>
      <c r="DQ143" s="744"/>
      <c r="DR143" s="744"/>
      <c r="DS143" s="744"/>
      <c r="DT143" s="744"/>
      <c r="DU143" s="744"/>
      <c r="DV143" s="744"/>
      <c r="DW143" s="744"/>
      <c r="DX143" s="744"/>
      <c r="DY143" s="744"/>
      <c r="DZ143" s="744"/>
      <c r="EA143" s="744"/>
      <c r="EB143" s="744"/>
      <c r="EC143" s="744"/>
      <c r="ED143" s="744"/>
      <c r="EE143" s="744"/>
      <c r="EF143" s="744"/>
      <c r="EG143" s="744"/>
      <c r="EH143" s="744"/>
      <c r="EI143" s="744"/>
      <c r="EJ143" s="744"/>
      <c r="EK143" s="744"/>
      <c r="EL143" s="744"/>
      <c r="EM143" s="744"/>
      <c r="EN143" s="744"/>
      <c r="EO143" s="744"/>
      <c r="EP143" s="744"/>
      <c r="EQ143" s="744"/>
      <c r="ER143" s="744"/>
      <c r="ES143" s="744"/>
      <c r="ET143" s="744"/>
      <c r="EU143" s="744"/>
      <c r="EV143" s="744"/>
      <c r="EW143" s="744"/>
      <c r="EX143" s="744"/>
      <c r="EY143" s="744"/>
      <c r="EZ143" s="744"/>
      <c r="FA143" s="744"/>
      <c r="FB143" s="744"/>
      <c r="FC143" s="744"/>
      <c r="FD143" s="744"/>
      <c r="FE143" s="744"/>
      <c r="FF143" s="744"/>
      <c r="FG143" s="744"/>
      <c r="FH143" s="744"/>
      <c r="FI143" s="744"/>
      <c r="FJ143" s="744"/>
      <c r="FK143" s="744"/>
      <c r="FL143" s="744"/>
      <c r="FM143" s="744"/>
      <c r="FN143" s="744"/>
      <c r="FO143" s="744"/>
      <c r="FP143" s="744"/>
      <c r="FQ143" s="744"/>
      <c r="FR143" s="744"/>
      <c r="FS143" s="744"/>
      <c r="FT143" s="744"/>
      <c r="FU143" s="744"/>
      <c r="FV143" s="744"/>
      <c r="FW143" s="744"/>
      <c r="FX143" s="744"/>
      <c r="FY143" s="744"/>
      <c r="FZ143" s="744"/>
      <c r="GA143" s="744"/>
      <c r="GB143" s="744"/>
      <c r="GC143" s="744"/>
      <c r="GD143" s="744"/>
      <c r="GE143" s="744"/>
      <c r="GF143" s="744"/>
      <c r="GG143" s="744"/>
      <c r="GH143" s="744"/>
      <c r="GI143" s="744"/>
      <c r="GJ143" s="744"/>
      <c r="GK143" s="744"/>
      <c r="GL143" s="744"/>
      <c r="GM143" s="744"/>
      <c r="GN143" s="744"/>
      <c r="GO143" s="744"/>
      <c r="GP143" s="744"/>
      <c r="GQ143" s="744"/>
      <c r="GR143" s="744"/>
      <c r="GS143" s="744"/>
      <c r="GT143" s="744"/>
      <c r="GU143" s="744"/>
      <c r="GV143" s="744"/>
      <c r="GW143" s="744"/>
      <c r="GX143" s="744"/>
      <c r="GY143" s="744"/>
      <c r="GZ143" s="744"/>
      <c r="HA143" s="744"/>
      <c r="HB143" s="744"/>
      <c r="HC143" s="744"/>
      <c r="HD143" s="744"/>
      <c r="HE143" s="744"/>
      <c r="HF143" s="744"/>
      <c r="HG143" s="744"/>
      <c r="HH143" s="744"/>
      <c r="HI143" s="744"/>
      <c r="HJ143" s="744"/>
      <c r="HK143" s="744"/>
      <c r="HL143" s="744"/>
      <c r="HM143" s="744"/>
      <c r="HN143" s="744"/>
      <c r="HO143" s="744"/>
      <c r="HP143" s="744"/>
      <c r="HQ143" s="744"/>
      <c r="HR143" s="744"/>
      <c r="HS143" s="744"/>
      <c r="HT143" s="744"/>
      <c r="HU143" s="744"/>
      <c r="HV143" s="744"/>
      <c r="HW143" s="744"/>
      <c r="HX143" s="744"/>
      <c r="HY143" s="744"/>
      <c r="HZ143" s="744"/>
      <c r="IA143" s="744"/>
      <c r="IB143" s="744"/>
      <c r="IC143" s="744"/>
      <c r="ID143" s="744"/>
      <c r="IE143" s="744"/>
      <c r="IF143" s="744"/>
      <c r="IG143" s="744"/>
      <c r="IH143" s="744"/>
      <c r="II143" s="744"/>
      <c r="IJ143" s="744"/>
      <c r="IK143" s="744"/>
      <c r="IL143" s="744"/>
      <c r="IM143" s="744"/>
      <c r="IN143" s="744"/>
      <c r="IO143" s="744"/>
      <c r="IP143" s="744"/>
      <c r="IQ143" s="744"/>
      <c r="IR143" s="744"/>
      <c r="IS143" s="744"/>
    </row>
    <row r="144" s="73" customFormat="1" ht="22.5" spans="1:253">
      <c r="A144" s="709" t="s">
        <v>263</v>
      </c>
      <c r="B144" s="682" t="s">
        <v>264</v>
      </c>
      <c r="C144" s="732" t="s">
        <v>265</v>
      </c>
      <c r="D144" s="729" t="s">
        <v>17</v>
      </c>
      <c r="E144" s="745">
        <f>'PB VI - Memorial'!G218</f>
        <v>18.95</v>
      </c>
      <c r="F144" s="711">
        <v>104.73</v>
      </c>
      <c r="G144" s="711">
        <f t="shared" si="14"/>
        <v>1984.63</v>
      </c>
      <c r="H144" s="724"/>
      <c r="I144" s="724"/>
      <c r="J144" s="724"/>
      <c r="K144" s="724"/>
      <c r="L144" s="724"/>
      <c r="M144" s="724"/>
      <c r="N144" s="741"/>
      <c r="O144" s="741"/>
      <c r="P144" s="741"/>
      <c r="Q144" s="741"/>
      <c r="R144" s="741"/>
      <c r="S144" s="741"/>
      <c r="T144" s="741"/>
      <c r="U144" s="741"/>
      <c r="V144" s="741"/>
      <c r="W144" s="741"/>
      <c r="X144" s="741"/>
      <c r="Y144" s="741"/>
      <c r="Z144" s="741"/>
      <c r="AA144" s="741"/>
      <c r="AB144" s="741"/>
      <c r="AC144" s="741"/>
      <c r="AD144" s="741"/>
      <c r="AE144" s="741"/>
      <c r="AF144" s="741"/>
      <c r="AG144" s="741"/>
      <c r="AH144" s="741"/>
      <c r="AI144" s="741"/>
      <c r="AJ144" s="741"/>
      <c r="AK144" s="741"/>
      <c r="AL144" s="741"/>
      <c r="AM144" s="741"/>
      <c r="AN144" s="741"/>
      <c r="AO144" s="741"/>
      <c r="AP144" s="741"/>
      <c r="AQ144" s="741"/>
      <c r="AR144" s="741"/>
      <c r="AS144" s="741"/>
      <c r="AT144" s="741"/>
      <c r="AU144" s="741"/>
      <c r="AV144" s="741"/>
      <c r="AW144" s="741"/>
      <c r="AX144" s="741"/>
      <c r="AY144" s="741"/>
      <c r="AZ144" s="741"/>
      <c r="BA144" s="741"/>
      <c r="BB144" s="741"/>
      <c r="BC144" s="741"/>
      <c r="BD144" s="741"/>
      <c r="BE144" s="741"/>
      <c r="BF144" s="741"/>
      <c r="BG144" s="741"/>
      <c r="BH144" s="741"/>
      <c r="BI144" s="741"/>
      <c r="BJ144" s="741"/>
      <c r="BK144" s="741"/>
      <c r="BL144" s="741"/>
      <c r="BM144" s="741"/>
      <c r="BN144" s="741"/>
      <c r="BO144" s="741"/>
      <c r="BP144" s="741"/>
      <c r="BQ144" s="741"/>
      <c r="BR144" s="741"/>
      <c r="BS144" s="741"/>
      <c r="BT144" s="741"/>
      <c r="BU144" s="741"/>
      <c r="BV144" s="741"/>
      <c r="BW144" s="744"/>
      <c r="BX144" s="744"/>
      <c r="BY144" s="744"/>
      <c r="BZ144" s="744"/>
      <c r="CA144" s="744"/>
      <c r="CB144" s="744"/>
      <c r="CC144" s="744"/>
      <c r="CD144" s="744"/>
      <c r="CE144" s="744"/>
      <c r="CF144" s="744"/>
      <c r="CG144" s="744"/>
      <c r="CH144" s="744"/>
      <c r="CI144" s="744"/>
      <c r="CJ144" s="744"/>
      <c r="CK144" s="744"/>
      <c r="CL144" s="744"/>
      <c r="CM144" s="744"/>
      <c r="CN144" s="744"/>
      <c r="CO144" s="744"/>
      <c r="CP144" s="744"/>
      <c r="CQ144" s="744"/>
      <c r="CR144" s="744"/>
      <c r="CS144" s="744"/>
      <c r="CT144" s="744"/>
      <c r="CU144" s="744"/>
      <c r="CV144" s="744"/>
      <c r="CW144" s="744"/>
      <c r="CX144" s="744"/>
      <c r="CY144" s="744"/>
      <c r="CZ144" s="744"/>
      <c r="DA144" s="744"/>
      <c r="DB144" s="744"/>
      <c r="DC144" s="744"/>
      <c r="DD144" s="744"/>
      <c r="DE144" s="744"/>
      <c r="DF144" s="744"/>
      <c r="DG144" s="744"/>
      <c r="DH144" s="744"/>
      <c r="DI144" s="744"/>
      <c r="DJ144" s="744"/>
      <c r="DK144" s="744"/>
      <c r="DL144" s="744"/>
      <c r="DM144" s="744"/>
      <c r="DN144" s="744"/>
      <c r="DO144" s="744"/>
      <c r="DP144" s="744"/>
      <c r="DQ144" s="744"/>
      <c r="DR144" s="744"/>
      <c r="DS144" s="744"/>
      <c r="DT144" s="744"/>
      <c r="DU144" s="744"/>
      <c r="DV144" s="744"/>
      <c r="DW144" s="744"/>
      <c r="DX144" s="744"/>
      <c r="DY144" s="744"/>
      <c r="DZ144" s="744"/>
      <c r="EA144" s="744"/>
      <c r="EB144" s="744"/>
      <c r="EC144" s="744"/>
      <c r="ED144" s="744"/>
      <c r="EE144" s="744"/>
      <c r="EF144" s="744"/>
      <c r="EG144" s="744"/>
      <c r="EH144" s="744"/>
      <c r="EI144" s="744"/>
      <c r="EJ144" s="744"/>
      <c r="EK144" s="744"/>
      <c r="EL144" s="744"/>
      <c r="EM144" s="744"/>
      <c r="EN144" s="744"/>
      <c r="EO144" s="744"/>
      <c r="EP144" s="744"/>
      <c r="EQ144" s="744"/>
      <c r="ER144" s="744"/>
      <c r="ES144" s="744"/>
      <c r="ET144" s="744"/>
      <c r="EU144" s="744"/>
      <c r="EV144" s="744"/>
      <c r="EW144" s="744"/>
      <c r="EX144" s="744"/>
      <c r="EY144" s="744"/>
      <c r="EZ144" s="744"/>
      <c r="FA144" s="744"/>
      <c r="FB144" s="744"/>
      <c r="FC144" s="744"/>
      <c r="FD144" s="744"/>
      <c r="FE144" s="744"/>
      <c r="FF144" s="744"/>
      <c r="FG144" s="744"/>
      <c r="FH144" s="744"/>
      <c r="FI144" s="744"/>
      <c r="FJ144" s="744"/>
      <c r="FK144" s="744"/>
      <c r="FL144" s="744"/>
      <c r="FM144" s="744"/>
      <c r="FN144" s="744"/>
      <c r="FO144" s="744"/>
      <c r="FP144" s="744"/>
      <c r="FQ144" s="744"/>
      <c r="FR144" s="744"/>
      <c r="FS144" s="744"/>
      <c r="FT144" s="744"/>
      <c r="FU144" s="744"/>
      <c r="FV144" s="744"/>
      <c r="FW144" s="744"/>
      <c r="FX144" s="744"/>
      <c r="FY144" s="744"/>
      <c r="FZ144" s="744"/>
      <c r="GA144" s="744"/>
      <c r="GB144" s="744"/>
      <c r="GC144" s="744"/>
      <c r="GD144" s="744"/>
      <c r="GE144" s="744"/>
      <c r="GF144" s="744"/>
      <c r="GG144" s="744"/>
      <c r="GH144" s="744"/>
      <c r="GI144" s="744"/>
      <c r="GJ144" s="744"/>
      <c r="GK144" s="744"/>
      <c r="GL144" s="744"/>
      <c r="GM144" s="744"/>
      <c r="GN144" s="744"/>
      <c r="GO144" s="744"/>
      <c r="GP144" s="744"/>
      <c r="GQ144" s="744"/>
      <c r="GR144" s="744"/>
      <c r="GS144" s="744"/>
      <c r="GT144" s="744"/>
      <c r="GU144" s="744"/>
      <c r="GV144" s="744"/>
      <c r="GW144" s="744"/>
      <c r="GX144" s="744"/>
      <c r="GY144" s="744"/>
      <c r="GZ144" s="744"/>
      <c r="HA144" s="744"/>
      <c r="HB144" s="744"/>
      <c r="HC144" s="744"/>
      <c r="HD144" s="744"/>
      <c r="HE144" s="744"/>
      <c r="HF144" s="744"/>
      <c r="HG144" s="744"/>
      <c r="HH144" s="744"/>
      <c r="HI144" s="744"/>
      <c r="HJ144" s="744"/>
      <c r="HK144" s="744"/>
      <c r="HL144" s="744"/>
      <c r="HM144" s="744"/>
      <c r="HN144" s="744"/>
      <c r="HO144" s="744"/>
      <c r="HP144" s="744"/>
      <c r="HQ144" s="744"/>
      <c r="HR144" s="744"/>
      <c r="HS144" s="744"/>
      <c r="HT144" s="744"/>
      <c r="HU144" s="744"/>
      <c r="HV144" s="744"/>
      <c r="HW144" s="744"/>
      <c r="HX144" s="744"/>
      <c r="HY144" s="744"/>
      <c r="HZ144" s="744"/>
      <c r="IA144" s="744"/>
      <c r="IB144" s="744"/>
      <c r="IC144" s="744"/>
      <c r="ID144" s="744"/>
      <c r="IE144" s="744"/>
      <c r="IF144" s="744"/>
      <c r="IG144" s="744"/>
      <c r="IH144" s="744"/>
      <c r="II144" s="744"/>
      <c r="IJ144" s="744"/>
      <c r="IK144" s="744"/>
      <c r="IL144" s="744"/>
      <c r="IM144" s="744"/>
      <c r="IN144" s="744"/>
      <c r="IO144" s="744"/>
      <c r="IP144" s="744"/>
      <c r="IQ144" s="744"/>
      <c r="IR144" s="744"/>
      <c r="IS144" s="744"/>
    </row>
    <row r="145" s="73" customFormat="1" ht="22.5" spans="1:253">
      <c r="A145" s="709" t="s">
        <v>266</v>
      </c>
      <c r="B145" s="682" t="s">
        <v>267</v>
      </c>
      <c r="C145" s="732" t="s">
        <v>268</v>
      </c>
      <c r="D145" s="729" t="s">
        <v>17</v>
      </c>
      <c r="E145" s="745">
        <f>'PB VI - Memorial'!G225</f>
        <v>34.61</v>
      </c>
      <c r="F145" s="711">
        <v>94.65</v>
      </c>
      <c r="G145" s="711">
        <f t="shared" si="14"/>
        <v>3275.84</v>
      </c>
      <c r="H145" s="724"/>
      <c r="I145" s="724"/>
      <c r="J145" s="724"/>
      <c r="K145" s="724"/>
      <c r="L145" s="724"/>
      <c r="M145" s="724"/>
      <c r="N145" s="741"/>
      <c r="O145" s="741"/>
      <c r="P145" s="741"/>
      <c r="Q145" s="741"/>
      <c r="R145" s="741"/>
      <c r="S145" s="741"/>
      <c r="T145" s="741"/>
      <c r="U145" s="741"/>
      <c r="V145" s="741"/>
      <c r="W145" s="741"/>
      <c r="X145" s="741"/>
      <c r="Y145" s="741"/>
      <c r="Z145" s="741"/>
      <c r="AA145" s="741"/>
      <c r="AB145" s="741"/>
      <c r="AC145" s="741"/>
      <c r="AD145" s="741"/>
      <c r="AE145" s="741"/>
      <c r="AF145" s="741"/>
      <c r="AG145" s="741"/>
      <c r="AH145" s="741"/>
      <c r="AI145" s="741"/>
      <c r="AJ145" s="741"/>
      <c r="AK145" s="741"/>
      <c r="AL145" s="741"/>
      <c r="AM145" s="741"/>
      <c r="AN145" s="741"/>
      <c r="AO145" s="741"/>
      <c r="AP145" s="741"/>
      <c r="AQ145" s="741"/>
      <c r="AR145" s="741"/>
      <c r="AS145" s="741"/>
      <c r="AT145" s="741"/>
      <c r="AU145" s="741"/>
      <c r="AV145" s="741"/>
      <c r="AW145" s="741"/>
      <c r="AX145" s="741"/>
      <c r="AY145" s="741"/>
      <c r="AZ145" s="741"/>
      <c r="BA145" s="741"/>
      <c r="BB145" s="741"/>
      <c r="BC145" s="741"/>
      <c r="BD145" s="741"/>
      <c r="BE145" s="741"/>
      <c r="BF145" s="741"/>
      <c r="BG145" s="741"/>
      <c r="BH145" s="741"/>
      <c r="BI145" s="741"/>
      <c r="BJ145" s="741"/>
      <c r="BK145" s="741"/>
      <c r="BL145" s="741"/>
      <c r="BM145" s="741"/>
      <c r="BN145" s="741"/>
      <c r="BO145" s="741"/>
      <c r="BP145" s="741"/>
      <c r="BQ145" s="741"/>
      <c r="BR145" s="741"/>
      <c r="BS145" s="741"/>
      <c r="BT145" s="741"/>
      <c r="BU145" s="741"/>
      <c r="BV145" s="741"/>
      <c r="BW145" s="744"/>
      <c r="BX145" s="744"/>
      <c r="BY145" s="744"/>
      <c r="BZ145" s="744"/>
      <c r="CA145" s="744"/>
      <c r="CB145" s="744"/>
      <c r="CC145" s="744"/>
      <c r="CD145" s="744"/>
      <c r="CE145" s="744"/>
      <c r="CF145" s="744"/>
      <c r="CG145" s="744"/>
      <c r="CH145" s="744"/>
      <c r="CI145" s="744"/>
      <c r="CJ145" s="744"/>
      <c r="CK145" s="744"/>
      <c r="CL145" s="744"/>
      <c r="CM145" s="744"/>
      <c r="CN145" s="744"/>
      <c r="CO145" s="744"/>
      <c r="CP145" s="744"/>
      <c r="CQ145" s="744"/>
      <c r="CR145" s="744"/>
      <c r="CS145" s="744"/>
      <c r="CT145" s="744"/>
      <c r="CU145" s="744"/>
      <c r="CV145" s="744"/>
      <c r="CW145" s="744"/>
      <c r="CX145" s="744"/>
      <c r="CY145" s="744"/>
      <c r="CZ145" s="744"/>
      <c r="DA145" s="744"/>
      <c r="DB145" s="744"/>
      <c r="DC145" s="744"/>
      <c r="DD145" s="744"/>
      <c r="DE145" s="744"/>
      <c r="DF145" s="744"/>
      <c r="DG145" s="744"/>
      <c r="DH145" s="744"/>
      <c r="DI145" s="744"/>
      <c r="DJ145" s="744"/>
      <c r="DK145" s="744"/>
      <c r="DL145" s="744"/>
      <c r="DM145" s="744"/>
      <c r="DN145" s="744"/>
      <c r="DO145" s="744"/>
      <c r="DP145" s="744"/>
      <c r="DQ145" s="744"/>
      <c r="DR145" s="744"/>
      <c r="DS145" s="744"/>
      <c r="DT145" s="744"/>
      <c r="DU145" s="744"/>
      <c r="DV145" s="744"/>
      <c r="DW145" s="744"/>
      <c r="DX145" s="744"/>
      <c r="DY145" s="744"/>
      <c r="DZ145" s="744"/>
      <c r="EA145" s="744"/>
      <c r="EB145" s="744"/>
      <c r="EC145" s="744"/>
      <c r="ED145" s="744"/>
      <c r="EE145" s="744"/>
      <c r="EF145" s="744"/>
      <c r="EG145" s="744"/>
      <c r="EH145" s="744"/>
      <c r="EI145" s="744"/>
      <c r="EJ145" s="744"/>
      <c r="EK145" s="744"/>
      <c r="EL145" s="744"/>
      <c r="EM145" s="744"/>
      <c r="EN145" s="744"/>
      <c r="EO145" s="744"/>
      <c r="EP145" s="744"/>
      <c r="EQ145" s="744"/>
      <c r="ER145" s="744"/>
      <c r="ES145" s="744"/>
      <c r="ET145" s="744"/>
      <c r="EU145" s="744"/>
      <c r="EV145" s="744"/>
      <c r="EW145" s="744"/>
      <c r="EX145" s="744"/>
      <c r="EY145" s="744"/>
      <c r="EZ145" s="744"/>
      <c r="FA145" s="744"/>
      <c r="FB145" s="744"/>
      <c r="FC145" s="744"/>
      <c r="FD145" s="744"/>
      <c r="FE145" s="744"/>
      <c r="FF145" s="744"/>
      <c r="FG145" s="744"/>
      <c r="FH145" s="744"/>
      <c r="FI145" s="744"/>
      <c r="FJ145" s="744"/>
      <c r="FK145" s="744"/>
      <c r="FL145" s="744"/>
      <c r="FM145" s="744"/>
      <c r="FN145" s="744"/>
      <c r="FO145" s="744"/>
      <c r="FP145" s="744"/>
      <c r="FQ145" s="744"/>
      <c r="FR145" s="744"/>
      <c r="FS145" s="744"/>
      <c r="FT145" s="744"/>
      <c r="FU145" s="744"/>
      <c r="FV145" s="744"/>
      <c r="FW145" s="744"/>
      <c r="FX145" s="744"/>
      <c r="FY145" s="744"/>
      <c r="FZ145" s="744"/>
      <c r="GA145" s="744"/>
      <c r="GB145" s="744"/>
      <c r="GC145" s="744"/>
      <c r="GD145" s="744"/>
      <c r="GE145" s="744"/>
      <c r="GF145" s="744"/>
      <c r="GG145" s="744"/>
      <c r="GH145" s="744"/>
      <c r="GI145" s="744"/>
      <c r="GJ145" s="744"/>
      <c r="GK145" s="744"/>
      <c r="GL145" s="744"/>
      <c r="GM145" s="744"/>
      <c r="GN145" s="744"/>
      <c r="GO145" s="744"/>
      <c r="GP145" s="744"/>
      <c r="GQ145" s="744"/>
      <c r="GR145" s="744"/>
      <c r="GS145" s="744"/>
      <c r="GT145" s="744"/>
      <c r="GU145" s="744"/>
      <c r="GV145" s="744"/>
      <c r="GW145" s="744"/>
      <c r="GX145" s="744"/>
      <c r="GY145" s="744"/>
      <c r="GZ145" s="744"/>
      <c r="HA145" s="744"/>
      <c r="HB145" s="744"/>
      <c r="HC145" s="744"/>
      <c r="HD145" s="744"/>
      <c r="HE145" s="744"/>
      <c r="HF145" s="744"/>
      <c r="HG145" s="744"/>
      <c r="HH145" s="744"/>
      <c r="HI145" s="744"/>
      <c r="HJ145" s="744"/>
      <c r="HK145" s="744"/>
      <c r="HL145" s="744"/>
      <c r="HM145" s="744"/>
      <c r="HN145" s="744"/>
      <c r="HO145" s="744"/>
      <c r="HP145" s="744"/>
      <c r="HQ145" s="744"/>
      <c r="HR145" s="744"/>
      <c r="HS145" s="744"/>
      <c r="HT145" s="744"/>
      <c r="HU145" s="744"/>
      <c r="HV145" s="744"/>
      <c r="HW145" s="744"/>
      <c r="HX145" s="744"/>
      <c r="HY145" s="744"/>
      <c r="HZ145" s="744"/>
      <c r="IA145" s="744"/>
      <c r="IB145" s="744"/>
      <c r="IC145" s="744"/>
      <c r="ID145" s="744"/>
      <c r="IE145" s="744"/>
      <c r="IF145" s="744"/>
      <c r="IG145" s="744"/>
      <c r="IH145" s="744"/>
      <c r="II145" s="744"/>
      <c r="IJ145" s="744"/>
      <c r="IK145" s="744"/>
      <c r="IL145" s="744"/>
      <c r="IM145" s="744"/>
      <c r="IN145" s="744"/>
      <c r="IO145" s="744"/>
      <c r="IP145" s="744"/>
      <c r="IQ145" s="744"/>
      <c r="IR145" s="744"/>
      <c r="IS145" s="744"/>
    </row>
    <row r="146" s="73" customFormat="1" ht="22.5" spans="1:253">
      <c r="A146" s="709" t="s">
        <v>269</v>
      </c>
      <c r="B146" s="682" t="s">
        <v>270</v>
      </c>
      <c r="C146" s="732" t="s">
        <v>271</v>
      </c>
      <c r="D146" s="729" t="s">
        <v>17</v>
      </c>
      <c r="E146" s="745">
        <f>'PB VI - Memorial'!G210</f>
        <v>142.12</v>
      </c>
      <c r="F146" s="711">
        <v>88.55</v>
      </c>
      <c r="G146" s="711">
        <f t="shared" si="14"/>
        <v>12584.73</v>
      </c>
      <c r="H146" s="724"/>
      <c r="I146" s="724"/>
      <c r="J146" s="724"/>
      <c r="K146" s="724"/>
      <c r="L146" s="724"/>
      <c r="M146" s="724"/>
      <c r="N146" s="741"/>
      <c r="O146" s="741"/>
      <c r="P146" s="741"/>
      <c r="Q146" s="741"/>
      <c r="R146" s="741"/>
      <c r="S146" s="741"/>
      <c r="T146" s="741"/>
      <c r="U146" s="741"/>
      <c r="V146" s="741"/>
      <c r="W146" s="741"/>
      <c r="X146" s="741"/>
      <c r="Y146" s="741"/>
      <c r="Z146" s="741"/>
      <c r="AA146" s="741"/>
      <c r="AB146" s="741"/>
      <c r="AC146" s="741"/>
      <c r="AD146" s="741"/>
      <c r="AE146" s="741"/>
      <c r="AF146" s="741"/>
      <c r="AG146" s="741"/>
      <c r="AH146" s="741"/>
      <c r="AI146" s="741"/>
      <c r="AJ146" s="741"/>
      <c r="AK146" s="741"/>
      <c r="AL146" s="741"/>
      <c r="AM146" s="741"/>
      <c r="AN146" s="741"/>
      <c r="AO146" s="741"/>
      <c r="AP146" s="741"/>
      <c r="AQ146" s="741"/>
      <c r="AR146" s="741"/>
      <c r="AS146" s="741"/>
      <c r="AT146" s="741"/>
      <c r="AU146" s="741"/>
      <c r="AV146" s="741"/>
      <c r="AW146" s="741"/>
      <c r="AX146" s="741"/>
      <c r="AY146" s="741"/>
      <c r="AZ146" s="741"/>
      <c r="BA146" s="741"/>
      <c r="BB146" s="741"/>
      <c r="BC146" s="741"/>
      <c r="BD146" s="741"/>
      <c r="BE146" s="741"/>
      <c r="BF146" s="741"/>
      <c r="BG146" s="741"/>
      <c r="BH146" s="741"/>
      <c r="BI146" s="741"/>
      <c r="BJ146" s="741"/>
      <c r="BK146" s="741"/>
      <c r="BL146" s="741"/>
      <c r="BM146" s="741"/>
      <c r="BN146" s="741"/>
      <c r="BO146" s="741"/>
      <c r="BP146" s="741"/>
      <c r="BQ146" s="741"/>
      <c r="BR146" s="741"/>
      <c r="BS146" s="741"/>
      <c r="BT146" s="741"/>
      <c r="BU146" s="741"/>
      <c r="BV146" s="741"/>
      <c r="BW146" s="744"/>
      <c r="BX146" s="744"/>
      <c r="BY146" s="744"/>
      <c r="BZ146" s="744"/>
      <c r="CA146" s="744"/>
      <c r="CB146" s="744"/>
      <c r="CC146" s="744"/>
      <c r="CD146" s="744"/>
      <c r="CE146" s="744"/>
      <c r="CF146" s="744"/>
      <c r="CG146" s="744"/>
      <c r="CH146" s="744"/>
      <c r="CI146" s="744"/>
      <c r="CJ146" s="744"/>
      <c r="CK146" s="744"/>
      <c r="CL146" s="744"/>
      <c r="CM146" s="744"/>
      <c r="CN146" s="744"/>
      <c r="CO146" s="744"/>
      <c r="CP146" s="744"/>
      <c r="CQ146" s="744"/>
      <c r="CR146" s="744"/>
      <c r="CS146" s="744"/>
      <c r="CT146" s="744"/>
      <c r="CU146" s="744"/>
      <c r="CV146" s="744"/>
      <c r="CW146" s="744"/>
      <c r="CX146" s="744"/>
      <c r="CY146" s="744"/>
      <c r="CZ146" s="744"/>
      <c r="DA146" s="744"/>
      <c r="DB146" s="744"/>
      <c r="DC146" s="744"/>
      <c r="DD146" s="744"/>
      <c r="DE146" s="744"/>
      <c r="DF146" s="744"/>
      <c r="DG146" s="744"/>
      <c r="DH146" s="744"/>
      <c r="DI146" s="744"/>
      <c r="DJ146" s="744"/>
      <c r="DK146" s="744"/>
      <c r="DL146" s="744"/>
      <c r="DM146" s="744"/>
      <c r="DN146" s="744"/>
      <c r="DO146" s="744"/>
      <c r="DP146" s="744"/>
      <c r="DQ146" s="744"/>
      <c r="DR146" s="744"/>
      <c r="DS146" s="744"/>
      <c r="DT146" s="744"/>
      <c r="DU146" s="744"/>
      <c r="DV146" s="744"/>
      <c r="DW146" s="744"/>
      <c r="DX146" s="744"/>
      <c r="DY146" s="744"/>
      <c r="DZ146" s="744"/>
      <c r="EA146" s="744"/>
      <c r="EB146" s="744"/>
      <c r="EC146" s="744"/>
      <c r="ED146" s="744"/>
      <c r="EE146" s="744"/>
      <c r="EF146" s="744"/>
      <c r="EG146" s="744"/>
      <c r="EH146" s="744"/>
      <c r="EI146" s="744"/>
      <c r="EJ146" s="744"/>
      <c r="EK146" s="744"/>
      <c r="EL146" s="744"/>
      <c r="EM146" s="744"/>
      <c r="EN146" s="744"/>
      <c r="EO146" s="744"/>
      <c r="EP146" s="744"/>
      <c r="EQ146" s="744"/>
      <c r="ER146" s="744"/>
      <c r="ES146" s="744"/>
      <c r="ET146" s="744"/>
      <c r="EU146" s="744"/>
      <c r="EV146" s="744"/>
      <c r="EW146" s="744"/>
      <c r="EX146" s="744"/>
      <c r="EY146" s="744"/>
      <c r="EZ146" s="744"/>
      <c r="FA146" s="744"/>
      <c r="FB146" s="744"/>
      <c r="FC146" s="744"/>
      <c r="FD146" s="744"/>
      <c r="FE146" s="744"/>
      <c r="FF146" s="744"/>
      <c r="FG146" s="744"/>
      <c r="FH146" s="744"/>
      <c r="FI146" s="744"/>
      <c r="FJ146" s="744"/>
      <c r="FK146" s="744"/>
      <c r="FL146" s="744"/>
      <c r="FM146" s="744"/>
      <c r="FN146" s="744"/>
      <c r="FO146" s="744"/>
      <c r="FP146" s="744"/>
      <c r="FQ146" s="744"/>
      <c r="FR146" s="744"/>
      <c r="FS146" s="744"/>
      <c r="FT146" s="744"/>
      <c r="FU146" s="744"/>
      <c r="FV146" s="744"/>
      <c r="FW146" s="744"/>
      <c r="FX146" s="744"/>
      <c r="FY146" s="744"/>
      <c r="FZ146" s="744"/>
      <c r="GA146" s="744"/>
      <c r="GB146" s="744"/>
      <c r="GC146" s="744"/>
      <c r="GD146" s="744"/>
      <c r="GE146" s="744"/>
      <c r="GF146" s="744"/>
      <c r="GG146" s="744"/>
      <c r="GH146" s="744"/>
      <c r="GI146" s="744"/>
      <c r="GJ146" s="744"/>
      <c r="GK146" s="744"/>
      <c r="GL146" s="744"/>
      <c r="GM146" s="744"/>
      <c r="GN146" s="744"/>
      <c r="GO146" s="744"/>
      <c r="GP146" s="744"/>
      <c r="GQ146" s="744"/>
      <c r="GR146" s="744"/>
      <c r="GS146" s="744"/>
      <c r="GT146" s="744"/>
      <c r="GU146" s="744"/>
      <c r="GV146" s="744"/>
      <c r="GW146" s="744"/>
      <c r="GX146" s="744"/>
      <c r="GY146" s="744"/>
      <c r="GZ146" s="744"/>
      <c r="HA146" s="744"/>
      <c r="HB146" s="744"/>
      <c r="HC146" s="744"/>
      <c r="HD146" s="744"/>
      <c r="HE146" s="744"/>
      <c r="HF146" s="744"/>
      <c r="HG146" s="744"/>
      <c r="HH146" s="744"/>
      <c r="HI146" s="744"/>
      <c r="HJ146" s="744"/>
      <c r="HK146" s="744"/>
      <c r="HL146" s="744"/>
      <c r="HM146" s="744"/>
      <c r="HN146" s="744"/>
      <c r="HO146" s="744"/>
      <c r="HP146" s="744"/>
      <c r="HQ146" s="744"/>
      <c r="HR146" s="744"/>
      <c r="HS146" s="744"/>
      <c r="HT146" s="744"/>
      <c r="HU146" s="744"/>
      <c r="HV146" s="744"/>
      <c r="HW146" s="744"/>
      <c r="HX146" s="744"/>
      <c r="HY146" s="744"/>
      <c r="HZ146" s="744"/>
      <c r="IA146" s="744"/>
      <c r="IB146" s="744"/>
      <c r="IC146" s="744"/>
      <c r="ID146" s="744"/>
      <c r="IE146" s="744"/>
      <c r="IF146" s="744"/>
      <c r="IG146" s="744"/>
      <c r="IH146" s="744"/>
      <c r="II146" s="744"/>
      <c r="IJ146" s="744"/>
      <c r="IK146" s="744"/>
      <c r="IL146" s="744"/>
      <c r="IM146" s="744"/>
      <c r="IN146" s="744"/>
      <c r="IO146" s="744"/>
      <c r="IP146" s="744"/>
      <c r="IQ146" s="744"/>
      <c r="IR146" s="744"/>
      <c r="IS146" s="744"/>
    </row>
    <row r="147" s="73" customFormat="1" ht="15" spans="1:253">
      <c r="A147" s="746"/>
      <c r="B147" s="747"/>
      <c r="C147" s="748" t="s">
        <v>272</v>
      </c>
      <c r="D147" s="747"/>
      <c r="E147" s="749"/>
      <c r="F147" s="750"/>
      <c r="G147" s="750"/>
      <c r="H147" s="724"/>
      <c r="I147" s="724"/>
      <c r="J147" s="724"/>
      <c r="K147" s="724"/>
      <c r="L147" s="724"/>
      <c r="M147" s="724"/>
      <c r="N147" s="741"/>
      <c r="O147" s="741"/>
      <c r="P147" s="741"/>
      <c r="Q147" s="741"/>
      <c r="R147" s="741"/>
      <c r="S147" s="741"/>
      <c r="T147" s="741"/>
      <c r="U147" s="741"/>
      <c r="V147" s="741"/>
      <c r="W147" s="741"/>
      <c r="X147" s="741"/>
      <c r="Y147" s="741"/>
      <c r="Z147" s="741"/>
      <c r="AA147" s="741"/>
      <c r="AB147" s="741"/>
      <c r="AC147" s="741"/>
      <c r="AD147" s="741"/>
      <c r="AE147" s="741"/>
      <c r="AF147" s="741"/>
      <c r="AG147" s="741"/>
      <c r="AH147" s="741"/>
      <c r="AI147" s="741"/>
      <c r="AJ147" s="741"/>
      <c r="AK147" s="741"/>
      <c r="AL147" s="741"/>
      <c r="AM147" s="741"/>
      <c r="AN147" s="741"/>
      <c r="AO147" s="741"/>
      <c r="AP147" s="741"/>
      <c r="AQ147" s="741"/>
      <c r="AR147" s="741"/>
      <c r="AS147" s="741"/>
      <c r="AT147" s="741"/>
      <c r="AU147" s="741"/>
      <c r="AV147" s="741"/>
      <c r="AW147" s="741"/>
      <c r="AX147" s="741"/>
      <c r="AY147" s="741"/>
      <c r="AZ147" s="741"/>
      <c r="BA147" s="741"/>
      <c r="BB147" s="741"/>
      <c r="BC147" s="741"/>
      <c r="BD147" s="741"/>
      <c r="BE147" s="741"/>
      <c r="BF147" s="741"/>
      <c r="BG147" s="741"/>
      <c r="BH147" s="741"/>
      <c r="BI147" s="741"/>
      <c r="BJ147" s="741"/>
      <c r="BK147" s="741"/>
      <c r="BL147" s="741"/>
      <c r="BM147" s="741"/>
      <c r="BN147" s="741"/>
      <c r="BO147" s="741"/>
      <c r="BP147" s="741"/>
      <c r="BQ147" s="741"/>
      <c r="BR147" s="741"/>
      <c r="BS147" s="741"/>
      <c r="BT147" s="741"/>
      <c r="BU147" s="741"/>
      <c r="BV147" s="741"/>
      <c r="BW147" s="744"/>
      <c r="BX147" s="744"/>
      <c r="BY147" s="744"/>
      <c r="BZ147" s="744"/>
      <c r="CA147" s="744"/>
      <c r="CB147" s="744"/>
      <c r="CC147" s="744"/>
      <c r="CD147" s="744"/>
      <c r="CE147" s="744"/>
      <c r="CF147" s="744"/>
      <c r="CG147" s="744"/>
      <c r="CH147" s="744"/>
      <c r="CI147" s="744"/>
      <c r="CJ147" s="744"/>
      <c r="CK147" s="744"/>
      <c r="CL147" s="744"/>
      <c r="CM147" s="744"/>
      <c r="CN147" s="744"/>
      <c r="CO147" s="744"/>
      <c r="CP147" s="744"/>
      <c r="CQ147" s="744"/>
      <c r="CR147" s="744"/>
      <c r="CS147" s="744"/>
      <c r="CT147" s="744"/>
      <c r="CU147" s="744"/>
      <c r="CV147" s="744"/>
      <c r="CW147" s="744"/>
      <c r="CX147" s="744"/>
      <c r="CY147" s="744"/>
      <c r="CZ147" s="744"/>
      <c r="DA147" s="744"/>
      <c r="DB147" s="744"/>
      <c r="DC147" s="744"/>
      <c r="DD147" s="744"/>
      <c r="DE147" s="744"/>
      <c r="DF147" s="744"/>
      <c r="DG147" s="744"/>
      <c r="DH147" s="744"/>
      <c r="DI147" s="744"/>
      <c r="DJ147" s="744"/>
      <c r="DK147" s="744"/>
      <c r="DL147" s="744"/>
      <c r="DM147" s="744"/>
      <c r="DN147" s="744"/>
      <c r="DO147" s="744"/>
      <c r="DP147" s="744"/>
      <c r="DQ147" s="744"/>
      <c r="DR147" s="744"/>
      <c r="DS147" s="744"/>
      <c r="DT147" s="744"/>
      <c r="DU147" s="744"/>
      <c r="DV147" s="744"/>
      <c r="DW147" s="744"/>
      <c r="DX147" s="744"/>
      <c r="DY147" s="744"/>
      <c r="DZ147" s="744"/>
      <c r="EA147" s="744"/>
      <c r="EB147" s="744"/>
      <c r="EC147" s="744"/>
      <c r="ED147" s="744"/>
      <c r="EE147" s="744"/>
      <c r="EF147" s="744"/>
      <c r="EG147" s="744"/>
      <c r="EH147" s="744"/>
      <c r="EI147" s="744"/>
      <c r="EJ147" s="744"/>
      <c r="EK147" s="744"/>
      <c r="EL147" s="744"/>
      <c r="EM147" s="744"/>
      <c r="EN147" s="744"/>
      <c r="EO147" s="744"/>
      <c r="EP147" s="744"/>
      <c r="EQ147" s="744"/>
      <c r="ER147" s="744"/>
      <c r="ES147" s="744"/>
      <c r="ET147" s="744"/>
      <c r="EU147" s="744"/>
      <c r="EV147" s="744"/>
      <c r="EW147" s="744"/>
      <c r="EX147" s="744"/>
      <c r="EY147" s="744"/>
      <c r="EZ147" s="744"/>
      <c r="FA147" s="744"/>
      <c r="FB147" s="744"/>
      <c r="FC147" s="744"/>
      <c r="FD147" s="744"/>
      <c r="FE147" s="744"/>
      <c r="FF147" s="744"/>
      <c r="FG147" s="744"/>
      <c r="FH147" s="744"/>
      <c r="FI147" s="744"/>
      <c r="FJ147" s="744"/>
      <c r="FK147" s="744"/>
      <c r="FL147" s="744"/>
      <c r="FM147" s="744"/>
      <c r="FN147" s="744"/>
      <c r="FO147" s="744"/>
      <c r="FP147" s="744"/>
      <c r="FQ147" s="744"/>
      <c r="FR147" s="744"/>
      <c r="FS147" s="744"/>
      <c r="FT147" s="744"/>
      <c r="FU147" s="744"/>
      <c r="FV147" s="744"/>
      <c r="FW147" s="744"/>
      <c r="FX147" s="744"/>
      <c r="FY147" s="744"/>
      <c r="FZ147" s="744"/>
      <c r="GA147" s="744"/>
      <c r="GB147" s="744"/>
      <c r="GC147" s="744"/>
      <c r="GD147" s="744"/>
      <c r="GE147" s="744"/>
      <c r="GF147" s="744"/>
      <c r="GG147" s="744"/>
      <c r="GH147" s="744"/>
      <c r="GI147" s="744"/>
      <c r="GJ147" s="744"/>
      <c r="GK147" s="744"/>
      <c r="GL147" s="744"/>
      <c r="GM147" s="744"/>
      <c r="GN147" s="744"/>
      <c r="GO147" s="744"/>
      <c r="GP147" s="744"/>
      <c r="GQ147" s="744"/>
      <c r="GR147" s="744"/>
      <c r="GS147" s="744"/>
      <c r="GT147" s="744"/>
      <c r="GU147" s="744"/>
      <c r="GV147" s="744"/>
      <c r="GW147" s="744"/>
      <c r="GX147" s="744"/>
      <c r="GY147" s="744"/>
      <c r="GZ147" s="744"/>
      <c r="HA147" s="744"/>
      <c r="HB147" s="744"/>
      <c r="HC147" s="744"/>
      <c r="HD147" s="744"/>
      <c r="HE147" s="744"/>
      <c r="HF147" s="744"/>
      <c r="HG147" s="744"/>
      <c r="HH147" s="744"/>
      <c r="HI147" s="744"/>
      <c r="HJ147" s="744"/>
      <c r="HK147" s="744"/>
      <c r="HL147" s="744"/>
      <c r="HM147" s="744"/>
      <c r="HN147" s="744"/>
      <c r="HO147" s="744"/>
      <c r="HP147" s="744"/>
      <c r="HQ147" s="744"/>
      <c r="HR147" s="744"/>
      <c r="HS147" s="744"/>
      <c r="HT147" s="744"/>
      <c r="HU147" s="744"/>
      <c r="HV147" s="744"/>
      <c r="HW147" s="744"/>
      <c r="HX147" s="744"/>
      <c r="HY147" s="744"/>
      <c r="HZ147" s="744"/>
      <c r="IA147" s="744"/>
      <c r="IB147" s="744"/>
      <c r="IC147" s="744"/>
      <c r="ID147" s="744"/>
      <c r="IE147" s="744"/>
      <c r="IF147" s="744"/>
      <c r="IG147" s="744"/>
      <c r="IH147" s="744"/>
      <c r="II147" s="744"/>
      <c r="IJ147" s="744"/>
      <c r="IK147" s="744"/>
      <c r="IL147" s="744"/>
      <c r="IM147" s="744"/>
      <c r="IN147" s="744"/>
      <c r="IO147" s="744"/>
      <c r="IP147" s="744"/>
      <c r="IQ147" s="744"/>
      <c r="IR147" s="744"/>
      <c r="IS147" s="744"/>
    </row>
    <row r="148" s="73" customFormat="1" ht="15" spans="1:253">
      <c r="A148" s="709" t="s">
        <v>252</v>
      </c>
      <c r="B148" s="682" t="s">
        <v>273</v>
      </c>
      <c r="C148" s="732" t="s">
        <v>254</v>
      </c>
      <c r="D148" s="729" t="s">
        <v>56</v>
      </c>
      <c r="E148" s="733">
        <f>'PB VI - Memorial'!G228</f>
        <v>2.43</v>
      </c>
      <c r="F148" s="711">
        <f>F140</f>
        <v>14.16</v>
      </c>
      <c r="G148" s="711">
        <f>ROUND(E148*F148,2)</f>
        <v>34.41</v>
      </c>
      <c r="H148" s="724"/>
      <c r="I148" s="724"/>
      <c r="J148" s="724"/>
      <c r="K148" s="724"/>
      <c r="L148" s="724"/>
      <c r="M148" s="724"/>
      <c r="N148" s="741"/>
      <c r="O148" s="741"/>
      <c r="P148" s="741"/>
      <c r="Q148" s="741"/>
      <c r="R148" s="741"/>
      <c r="S148" s="741"/>
      <c r="T148" s="741"/>
      <c r="U148" s="741"/>
      <c r="V148" s="741"/>
      <c r="W148" s="741"/>
      <c r="X148" s="741"/>
      <c r="Y148" s="741"/>
      <c r="Z148" s="741"/>
      <c r="AA148" s="741"/>
      <c r="AB148" s="741"/>
      <c r="AC148" s="741"/>
      <c r="AD148" s="741"/>
      <c r="AE148" s="741"/>
      <c r="AF148" s="741"/>
      <c r="AG148" s="741"/>
      <c r="AH148" s="741"/>
      <c r="AI148" s="741"/>
      <c r="AJ148" s="741"/>
      <c r="AK148" s="741"/>
      <c r="AL148" s="741"/>
      <c r="AM148" s="741"/>
      <c r="AN148" s="741"/>
      <c r="AO148" s="741"/>
      <c r="AP148" s="741"/>
      <c r="AQ148" s="741"/>
      <c r="AR148" s="741"/>
      <c r="AS148" s="741"/>
      <c r="AT148" s="741"/>
      <c r="AU148" s="741"/>
      <c r="AV148" s="741"/>
      <c r="AW148" s="741"/>
      <c r="AX148" s="741"/>
      <c r="AY148" s="741"/>
      <c r="AZ148" s="741"/>
      <c r="BA148" s="741"/>
      <c r="BB148" s="741"/>
      <c r="BC148" s="741"/>
      <c r="BD148" s="741"/>
      <c r="BE148" s="741"/>
      <c r="BF148" s="741"/>
      <c r="BG148" s="741"/>
      <c r="BH148" s="741"/>
      <c r="BI148" s="741"/>
      <c r="BJ148" s="741"/>
      <c r="BK148" s="741"/>
      <c r="BL148" s="741"/>
      <c r="BM148" s="741"/>
      <c r="BN148" s="741"/>
      <c r="BO148" s="741"/>
      <c r="BP148" s="741"/>
      <c r="BQ148" s="741"/>
      <c r="BR148" s="741"/>
      <c r="BS148" s="741"/>
      <c r="BT148" s="741"/>
      <c r="BU148" s="741"/>
      <c r="BV148" s="741"/>
      <c r="BW148" s="744"/>
      <c r="BX148" s="744"/>
      <c r="BY148" s="744"/>
      <c r="BZ148" s="744"/>
      <c r="CA148" s="744"/>
      <c r="CB148" s="744"/>
      <c r="CC148" s="744"/>
      <c r="CD148" s="744"/>
      <c r="CE148" s="744"/>
      <c r="CF148" s="744"/>
      <c r="CG148" s="744"/>
      <c r="CH148" s="744"/>
      <c r="CI148" s="744"/>
      <c r="CJ148" s="744"/>
      <c r="CK148" s="744"/>
      <c r="CL148" s="744"/>
      <c r="CM148" s="744"/>
      <c r="CN148" s="744"/>
      <c r="CO148" s="744"/>
      <c r="CP148" s="744"/>
      <c r="CQ148" s="744"/>
      <c r="CR148" s="744"/>
      <c r="CS148" s="744"/>
      <c r="CT148" s="744"/>
      <c r="CU148" s="744"/>
      <c r="CV148" s="744"/>
      <c r="CW148" s="744"/>
      <c r="CX148" s="744"/>
      <c r="CY148" s="744"/>
      <c r="CZ148" s="744"/>
      <c r="DA148" s="744"/>
      <c r="DB148" s="744"/>
      <c r="DC148" s="744"/>
      <c r="DD148" s="744"/>
      <c r="DE148" s="744"/>
      <c r="DF148" s="744"/>
      <c r="DG148" s="744"/>
      <c r="DH148" s="744"/>
      <c r="DI148" s="744"/>
      <c r="DJ148" s="744"/>
      <c r="DK148" s="744"/>
      <c r="DL148" s="744"/>
      <c r="DM148" s="744"/>
      <c r="DN148" s="744"/>
      <c r="DO148" s="744"/>
      <c r="DP148" s="744"/>
      <c r="DQ148" s="744"/>
      <c r="DR148" s="744"/>
      <c r="DS148" s="744"/>
      <c r="DT148" s="744"/>
      <c r="DU148" s="744"/>
      <c r="DV148" s="744"/>
      <c r="DW148" s="744"/>
      <c r="DX148" s="744"/>
      <c r="DY148" s="744"/>
      <c r="DZ148" s="744"/>
      <c r="EA148" s="744"/>
      <c r="EB148" s="744"/>
      <c r="EC148" s="744"/>
      <c r="ED148" s="744"/>
      <c r="EE148" s="744"/>
      <c r="EF148" s="744"/>
      <c r="EG148" s="744"/>
      <c r="EH148" s="744"/>
      <c r="EI148" s="744"/>
      <c r="EJ148" s="744"/>
      <c r="EK148" s="744"/>
      <c r="EL148" s="744"/>
      <c r="EM148" s="744"/>
      <c r="EN148" s="744"/>
      <c r="EO148" s="744"/>
      <c r="EP148" s="744"/>
      <c r="EQ148" s="744"/>
      <c r="ER148" s="744"/>
      <c r="ES148" s="744"/>
      <c r="ET148" s="744"/>
      <c r="EU148" s="744"/>
      <c r="EV148" s="744"/>
      <c r="EW148" s="744"/>
      <c r="EX148" s="744"/>
      <c r="EY148" s="744"/>
      <c r="EZ148" s="744"/>
      <c r="FA148" s="744"/>
      <c r="FB148" s="744"/>
      <c r="FC148" s="744"/>
      <c r="FD148" s="744"/>
      <c r="FE148" s="744"/>
      <c r="FF148" s="744"/>
      <c r="FG148" s="744"/>
      <c r="FH148" s="744"/>
      <c r="FI148" s="744"/>
      <c r="FJ148" s="744"/>
      <c r="FK148" s="744"/>
      <c r="FL148" s="744"/>
      <c r="FM148" s="744"/>
      <c r="FN148" s="744"/>
      <c r="FO148" s="744"/>
      <c r="FP148" s="744"/>
      <c r="FQ148" s="744"/>
      <c r="FR148" s="744"/>
      <c r="FS148" s="744"/>
      <c r="FT148" s="744"/>
      <c r="FU148" s="744"/>
      <c r="FV148" s="744"/>
      <c r="FW148" s="744"/>
      <c r="FX148" s="744"/>
      <c r="FY148" s="744"/>
      <c r="FZ148" s="744"/>
      <c r="GA148" s="744"/>
      <c r="GB148" s="744"/>
      <c r="GC148" s="744"/>
      <c r="GD148" s="744"/>
      <c r="GE148" s="744"/>
      <c r="GF148" s="744"/>
      <c r="GG148" s="744"/>
      <c r="GH148" s="744"/>
      <c r="GI148" s="744"/>
      <c r="GJ148" s="744"/>
      <c r="GK148" s="744"/>
      <c r="GL148" s="744"/>
      <c r="GM148" s="744"/>
      <c r="GN148" s="744"/>
      <c r="GO148" s="744"/>
      <c r="GP148" s="744"/>
      <c r="GQ148" s="744"/>
      <c r="GR148" s="744"/>
      <c r="GS148" s="744"/>
      <c r="GT148" s="744"/>
      <c r="GU148" s="744"/>
      <c r="GV148" s="744"/>
      <c r="GW148" s="744"/>
      <c r="GX148" s="744"/>
      <c r="GY148" s="744"/>
      <c r="GZ148" s="744"/>
      <c r="HA148" s="744"/>
      <c r="HB148" s="744"/>
      <c r="HC148" s="744"/>
      <c r="HD148" s="744"/>
      <c r="HE148" s="744"/>
      <c r="HF148" s="744"/>
      <c r="HG148" s="744"/>
      <c r="HH148" s="744"/>
      <c r="HI148" s="744"/>
      <c r="HJ148" s="744"/>
      <c r="HK148" s="744"/>
      <c r="HL148" s="744"/>
      <c r="HM148" s="744"/>
      <c r="HN148" s="744"/>
      <c r="HO148" s="744"/>
      <c r="HP148" s="744"/>
      <c r="HQ148" s="744"/>
      <c r="HR148" s="744"/>
      <c r="HS148" s="744"/>
      <c r="HT148" s="744"/>
      <c r="HU148" s="744"/>
      <c r="HV148" s="744"/>
      <c r="HW148" s="744"/>
      <c r="HX148" s="744"/>
      <c r="HY148" s="744"/>
      <c r="HZ148" s="744"/>
      <c r="IA148" s="744"/>
      <c r="IB148" s="744"/>
      <c r="IC148" s="744"/>
      <c r="ID148" s="744"/>
      <c r="IE148" s="744"/>
      <c r="IF148" s="744"/>
      <c r="IG148" s="744"/>
      <c r="IH148" s="744"/>
      <c r="II148" s="744"/>
      <c r="IJ148" s="744"/>
      <c r="IK148" s="744"/>
      <c r="IL148" s="744"/>
      <c r="IM148" s="744"/>
      <c r="IN148" s="744"/>
      <c r="IO148" s="744"/>
      <c r="IP148" s="744"/>
      <c r="IQ148" s="744"/>
      <c r="IR148" s="744"/>
      <c r="IS148" s="744"/>
    </row>
    <row r="149" s="73" customFormat="1" ht="15" spans="1:253">
      <c r="A149" s="709" t="s">
        <v>132</v>
      </c>
      <c r="B149" s="682" t="s">
        <v>274</v>
      </c>
      <c r="C149" s="732" t="s">
        <v>256</v>
      </c>
      <c r="D149" s="729" t="s">
        <v>56</v>
      </c>
      <c r="E149" s="733">
        <f>'PB VI - Memorial'!G229</f>
        <v>2.43</v>
      </c>
      <c r="F149" s="711">
        <f>F141</f>
        <v>39.63</v>
      </c>
      <c r="G149" s="711">
        <f>ROUND(E149*F149,2)</f>
        <v>96.3</v>
      </c>
      <c r="H149" s="724"/>
      <c r="I149" s="724"/>
      <c r="J149" s="724"/>
      <c r="K149" s="724"/>
      <c r="L149" s="724"/>
      <c r="M149" s="724"/>
      <c r="N149" s="741"/>
      <c r="O149" s="741"/>
      <c r="P149" s="741"/>
      <c r="Q149" s="741"/>
      <c r="R149" s="741"/>
      <c r="S149" s="741"/>
      <c r="T149" s="741"/>
      <c r="U149" s="741"/>
      <c r="V149" s="741"/>
      <c r="W149" s="741"/>
      <c r="X149" s="741"/>
      <c r="Y149" s="741"/>
      <c r="Z149" s="741"/>
      <c r="AA149" s="741"/>
      <c r="AB149" s="741"/>
      <c r="AC149" s="741"/>
      <c r="AD149" s="741"/>
      <c r="AE149" s="741"/>
      <c r="AF149" s="741"/>
      <c r="AG149" s="741"/>
      <c r="AH149" s="741"/>
      <c r="AI149" s="741"/>
      <c r="AJ149" s="741"/>
      <c r="AK149" s="741"/>
      <c r="AL149" s="741"/>
      <c r="AM149" s="741"/>
      <c r="AN149" s="741"/>
      <c r="AO149" s="741"/>
      <c r="AP149" s="741"/>
      <c r="AQ149" s="741"/>
      <c r="AR149" s="741"/>
      <c r="AS149" s="741"/>
      <c r="AT149" s="741"/>
      <c r="AU149" s="741"/>
      <c r="AV149" s="741"/>
      <c r="AW149" s="741"/>
      <c r="AX149" s="741"/>
      <c r="AY149" s="741"/>
      <c r="AZ149" s="741"/>
      <c r="BA149" s="741"/>
      <c r="BB149" s="741"/>
      <c r="BC149" s="741"/>
      <c r="BD149" s="741"/>
      <c r="BE149" s="741"/>
      <c r="BF149" s="741"/>
      <c r="BG149" s="741"/>
      <c r="BH149" s="741"/>
      <c r="BI149" s="741"/>
      <c r="BJ149" s="741"/>
      <c r="BK149" s="741"/>
      <c r="BL149" s="741"/>
      <c r="BM149" s="741"/>
      <c r="BN149" s="741"/>
      <c r="BO149" s="741"/>
      <c r="BP149" s="741"/>
      <c r="BQ149" s="741"/>
      <c r="BR149" s="741"/>
      <c r="BS149" s="741"/>
      <c r="BT149" s="741"/>
      <c r="BU149" s="741"/>
      <c r="BV149" s="741"/>
      <c r="BW149" s="744"/>
      <c r="BX149" s="744"/>
      <c r="BY149" s="744"/>
      <c r="BZ149" s="744"/>
      <c r="CA149" s="744"/>
      <c r="CB149" s="744"/>
      <c r="CC149" s="744"/>
      <c r="CD149" s="744"/>
      <c r="CE149" s="744"/>
      <c r="CF149" s="744"/>
      <c r="CG149" s="744"/>
      <c r="CH149" s="744"/>
      <c r="CI149" s="744"/>
      <c r="CJ149" s="744"/>
      <c r="CK149" s="744"/>
      <c r="CL149" s="744"/>
      <c r="CM149" s="744"/>
      <c r="CN149" s="744"/>
      <c r="CO149" s="744"/>
      <c r="CP149" s="744"/>
      <c r="CQ149" s="744"/>
      <c r="CR149" s="744"/>
      <c r="CS149" s="744"/>
      <c r="CT149" s="744"/>
      <c r="CU149" s="744"/>
      <c r="CV149" s="744"/>
      <c r="CW149" s="744"/>
      <c r="CX149" s="744"/>
      <c r="CY149" s="744"/>
      <c r="CZ149" s="744"/>
      <c r="DA149" s="744"/>
      <c r="DB149" s="744"/>
      <c r="DC149" s="744"/>
      <c r="DD149" s="744"/>
      <c r="DE149" s="744"/>
      <c r="DF149" s="744"/>
      <c r="DG149" s="744"/>
      <c r="DH149" s="744"/>
      <c r="DI149" s="744"/>
      <c r="DJ149" s="744"/>
      <c r="DK149" s="744"/>
      <c r="DL149" s="744"/>
      <c r="DM149" s="744"/>
      <c r="DN149" s="744"/>
      <c r="DO149" s="744"/>
      <c r="DP149" s="744"/>
      <c r="DQ149" s="744"/>
      <c r="DR149" s="744"/>
      <c r="DS149" s="744"/>
      <c r="DT149" s="744"/>
      <c r="DU149" s="744"/>
      <c r="DV149" s="744"/>
      <c r="DW149" s="744"/>
      <c r="DX149" s="744"/>
      <c r="DY149" s="744"/>
      <c r="DZ149" s="744"/>
      <c r="EA149" s="744"/>
      <c r="EB149" s="744"/>
      <c r="EC149" s="744"/>
      <c r="ED149" s="744"/>
      <c r="EE149" s="744"/>
      <c r="EF149" s="744"/>
      <c r="EG149" s="744"/>
      <c r="EH149" s="744"/>
      <c r="EI149" s="744"/>
      <c r="EJ149" s="744"/>
      <c r="EK149" s="744"/>
      <c r="EL149" s="744"/>
      <c r="EM149" s="744"/>
      <c r="EN149" s="744"/>
      <c r="EO149" s="744"/>
      <c r="EP149" s="744"/>
      <c r="EQ149" s="744"/>
      <c r="ER149" s="744"/>
      <c r="ES149" s="744"/>
      <c r="ET149" s="744"/>
      <c r="EU149" s="744"/>
      <c r="EV149" s="744"/>
      <c r="EW149" s="744"/>
      <c r="EX149" s="744"/>
      <c r="EY149" s="744"/>
      <c r="EZ149" s="744"/>
      <c r="FA149" s="744"/>
      <c r="FB149" s="744"/>
      <c r="FC149" s="744"/>
      <c r="FD149" s="744"/>
      <c r="FE149" s="744"/>
      <c r="FF149" s="744"/>
      <c r="FG149" s="744"/>
      <c r="FH149" s="744"/>
      <c r="FI149" s="744"/>
      <c r="FJ149" s="744"/>
      <c r="FK149" s="744"/>
      <c r="FL149" s="744"/>
      <c r="FM149" s="744"/>
      <c r="FN149" s="744"/>
      <c r="FO149" s="744"/>
      <c r="FP149" s="744"/>
      <c r="FQ149" s="744"/>
      <c r="FR149" s="744"/>
      <c r="FS149" s="744"/>
      <c r="FT149" s="744"/>
      <c r="FU149" s="744"/>
      <c r="FV149" s="744"/>
      <c r="FW149" s="744"/>
      <c r="FX149" s="744"/>
      <c r="FY149" s="744"/>
      <c r="FZ149" s="744"/>
      <c r="GA149" s="744"/>
      <c r="GB149" s="744"/>
      <c r="GC149" s="744"/>
      <c r="GD149" s="744"/>
      <c r="GE149" s="744"/>
      <c r="GF149" s="744"/>
      <c r="GG149" s="744"/>
      <c r="GH149" s="744"/>
      <c r="GI149" s="744"/>
      <c r="GJ149" s="744"/>
      <c r="GK149" s="744"/>
      <c r="GL149" s="744"/>
      <c r="GM149" s="744"/>
      <c r="GN149" s="744"/>
      <c r="GO149" s="744"/>
      <c r="GP149" s="744"/>
      <c r="GQ149" s="744"/>
      <c r="GR149" s="744"/>
      <c r="GS149" s="744"/>
      <c r="GT149" s="744"/>
      <c r="GU149" s="744"/>
      <c r="GV149" s="744"/>
      <c r="GW149" s="744"/>
      <c r="GX149" s="744"/>
      <c r="GY149" s="744"/>
      <c r="GZ149" s="744"/>
      <c r="HA149" s="744"/>
      <c r="HB149" s="744"/>
      <c r="HC149" s="744"/>
      <c r="HD149" s="744"/>
      <c r="HE149" s="744"/>
      <c r="HF149" s="744"/>
      <c r="HG149" s="744"/>
      <c r="HH149" s="744"/>
      <c r="HI149" s="744"/>
      <c r="HJ149" s="744"/>
      <c r="HK149" s="744"/>
      <c r="HL149" s="744"/>
      <c r="HM149" s="744"/>
      <c r="HN149" s="744"/>
      <c r="HO149" s="744"/>
      <c r="HP149" s="744"/>
      <c r="HQ149" s="744"/>
      <c r="HR149" s="744"/>
      <c r="HS149" s="744"/>
      <c r="HT149" s="744"/>
      <c r="HU149" s="744"/>
      <c r="HV149" s="744"/>
      <c r="HW149" s="744"/>
      <c r="HX149" s="744"/>
      <c r="HY149" s="744"/>
      <c r="HZ149" s="744"/>
      <c r="IA149" s="744"/>
      <c r="IB149" s="744"/>
      <c r="IC149" s="744"/>
      <c r="ID149" s="744"/>
      <c r="IE149" s="744"/>
      <c r="IF149" s="744"/>
      <c r="IG149" s="744"/>
      <c r="IH149" s="744"/>
      <c r="II149" s="744"/>
      <c r="IJ149" s="744"/>
      <c r="IK149" s="744"/>
      <c r="IL149" s="744"/>
      <c r="IM149" s="744"/>
      <c r="IN149" s="744"/>
      <c r="IO149" s="744"/>
      <c r="IP149" s="744"/>
      <c r="IQ149" s="744"/>
      <c r="IR149" s="744"/>
      <c r="IS149" s="744"/>
    </row>
    <row r="150" s="73" customFormat="1" ht="45" spans="1:253">
      <c r="A150" s="709" t="s">
        <v>257</v>
      </c>
      <c r="B150" s="682" t="s">
        <v>275</v>
      </c>
      <c r="C150" s="732" t="s">
        <v>259</v>
      </c>
      <c r="D150" s="729" t="s">
        <v>56</v>
      </c>
      <c r="E150" s="745">
        <f>'PB VI - Memorial'!G230</f>
        <v>0.81</v>
      </c>
      <c r="F150" s="711">
        <v>522.23</v>
      </c>
      <c r="G150" s="711">
        <f>ROUND(E150*F150,2)</f>
        <v>423.01</v>
      </c>
      <c r="H150" s="724"/>
      <c r="I150" s="724"/>
      <c r="J150" s="724"/>
      <c r="K150" s="724"/>
      <c r="L150" s="724"/>
      <c r="M150" s="724"/>
      <c r="N150" s="741"/>
      <c r="O150" s="741"/>
      <c r="P150" s="741"/>
      <c r="Q150" s="741"/>
      <c r="R150" s="741"/>
      <c r="S150" s="741"/>
      <c r="T150" s="741"/>
      <c r="U150" s="741"/>
      <c r="V150" s="741"/>
      <c r="W150" s="741"/>
      <c r="X150" s="741"/>
      <c r="Y150" s="741"/>
      <c r="Z150" s="741"/>
      <c r="AA150" s="741"/>
      <c r="AB150" s="741"/>
      <c r="AC150" s="741"/>
      <c r="AD150" s="741"/>
      <c r="AE150" s="741"/>
      <c r="AF150" s="741"/>
      <c r="AG150" s="741"/>
      <c r="AH150" s="741"/>
      <c r="AI150" s="741"/>
      <c r="AJ150" s="741"/>
      <c r="AK150" s="741"/>
      <c r="AL150" s="741"/>
      <c r="AM150" s="741"/>
      <c r="AN150" s="741"/>
      <c r="AO150" s="741"/>
      <c r="AP150" s="741"/>
      <c r="AQ150" s="741"/>
      <c r="AR150" s="741"/>
      <c r="AS150" s="741"/>
      <c r="AT150" s="741"/>
      <c r="AU150" s="741"/>
      <c r="AV150" s="741"/>
      <c r="AW150" s="741"/>
      <c r="AX150" s="741"/>
      <c r="AY150" s="741"/>
      <c r="AZ150" s="741"/>
      <c r="BA150" s="741"/>
      <c r="BB150" s="741"/>
      <c r="BC150" s="741"/>
      <c r="BD150" s="741"/>
      <c r="BE150" s="741"/>
      <c r="BF150" s="741"/>
      <c r="BG150" s="741"/>
      <c r="BH150" s="741"/>
      <c r="BI150" s="741"/>
      <c r="BJ150" s="741"/>
      <c r="BK150" s="741"/>
      <c r="BL150" s="741"/>
      <c r="BM150" s="741"/>
      <c r="BN150" s="741"/>
      <c r="BO150" s="741"/>
      <c r="BP150" s="741"/>
      <c r="BQ150" s="741"/>
      <c r="BR150" s="741"/>
      <c r="BS150" s="741"/>
      <c r="BT150" s="741"/>
      <c r="BU150" s="741"/>
      <c r="BV150" s="741"/>
      <c r="BW150" s="744"/>
      <c r="BX150" s="744"/>
      <c r="BY150" s="744"/>
      <c r="BZ150" s="744"/>
      <c r="CA150" s="744"/>
      <c r="CB150" s="744"/>
      <c r="CC150" s="744"/>
      <c r="CD150" s="744"/>
      <c r="CE150" s="744"/>
      <c r="CF150" s="744"/>
      <c r="CG150" s="744"/>
      <c r="CH150" s="744"/>
      <c r="CI150" s="744"/>
      <c r="CJ150" s="744"/>
      <c r="CK150" s="744"/>
      <c r="CL150" s="744"/>
      <c r="CM150" s="744"/>
      <c r="CN150" s="744"/>
      <c r="CO150" s="744"/>
      <c r="CP150" s="744"/>
      <c r="CQ150" s="744"/>
      <c r="CR150" s="744"/>
      <c r="CS150" s="744"/>
      <c r="CT150" s="744"/>
      <c r="CU150" s="744"/>
      <c r="CV150" s="744"/>
      <c r="CW150" s="744"/>
      <c r="CX150" s="744"/>
      <c r="CY150" s="744"/>
      <c r="CZ150" s="744"/>
      <c r="DA150" s="744"/>
      <c r="DB150" s="744"/>
      <c r="DC150" s="744"/>
      <c r="DD150" s="744"/>
      <c r="DE150" s="744"/>
      <c r="DF150" s="744"/>
      <c r="DG150" s="744"/>
      <c r="DH150" s="744"/>
      <c r="DI150" s="744"/>
      <c r="DJ150" s="744"/>
      <c r="DK150" s="744"/>
      <c r="DL150" s="744"/>
      <c r="DM150" s="744"/>
      <c r="DN150" s="744"/>
      <c r="DO150" s="744"/>
      <c r="DP150" s="744"/>
      <c r="DQ150" s="744"/>
      <c r="DR150" s="744"/>
      <c r="DS150" s="744"/>
      <c r="DT150" s="744"/>
      <c r="DU150" s="744"/>
      <c r="DV150" s="744"/>
      <c r="DW150" s="744"/>
      <c r="DX150" s="744"/>
      <c r="DY150" s="744"/>
      <c r="DZ150" s="744"/>
      <c r="EA150" s="744"/>
      <c r="EB150" s="744"/>
      <c r="EC150" s="744"/>
      <c r="ED150" s="744"/>
      <c r="EE150" s="744"/>
      <c r="EF150" s="744"/>
      <c r="EG150" s="744"/>
      <c r="EH150" s="744"/>
      <c r="EI150" s="744"/>
      <c r="EJ150" s="744"/>
      <c r="EK150" s="744"/>
      <c r="EL150" s="744"/>
      <c r="EM150" s="744"/>
      <c r="EN150" s="744"/>
      <c r="EO150" s="744"/>
      <c r="EP150" s="744"/>
      <c r="EQ150" s="744"/>
      <c r="ER150" s="744"/>
      <c r="ES150" s="744"/>
      <c r="ET150" s="744"/>
      <c r="EU150" s="744"/>
      <c r="EV150" s="744"/>
      <c r="EW150" s="744"/>
      <c r="EX150" s="744"/>
      <c r="EY150" s="744"/>
      <c r="EZ150" s="744"/>
      <c r="FA150" s="744"/>
      <c r="FB150" s="744"/>
      <c r="FC150" s="744"/>
      <c r="FD150" s="744"/>
      <c r="FE150" s="744"/>
      <c r="FF150" s="744"/>
      <c r="FG150" s="744"/>
      <c r="FH150" s="744"/>
      <c r="FI150" s="744"/>
      <c r="FJ150" s="744"/>
      <c r="FK150" s="744"/>
      <c r="FL150" s="744"/>
      <c r="FM150" s="744"/>
      <c r="FN150" s="744"/>
      <c r="FO150" s="744"/>
      <c r="FP150" s="744"/>
      <c r="FQ150" s="744"/>
      <c r="FR150" s="744"/>
      <c r="FS150" s="744"/>
      <c r="FT150" s="744"/>
      <c r="FU150" s="744"/>
      <c r="FV150" s="744"/>
      <c r="FW150" s="744"/>
      <c r="FX150" s="744"/>
      <c r="FY150" s="744"/>
      <c r="FZ150" s="744"/>
      <c r="GA150" s="744"/>
      <c r="GB150" s="744"/>
      <c r="GC150" s="744"/>
      <c r="GD150" s="744"/>
      <c r="GE150" s="744"/>
      <c r="GF150" s="744"/>
      <c r="GG150" s="744"/>
      <c r="GH150" s="744"/>
      <c r="GI150" s="744"/>
      <c r="GJ150" s="744"/>
      <c r="GK150" s="744"/>
      <c r="GL150" s="744"/>
      <c r="GM150" s="744"/>
      <c r="GN150" s="744"/>
      <c r="GO150" s="744"/>
      <c r="GP150" s="744"/>
      <c r="GQ150" s="744"/>
      <c r="GR150" s="744"/>
      <c r="GS150" s="744"/>
      <c r="GT150" s="744"/>
      <c r="GU150" s="744"/>
      <c r="GV150" s="744"/>
      <c r="GW150" s="744"/>
      <c r="GX150" s="744"/>
      <c r="GY150" s="744"/>
      <c r="GZ150" s="744"/>
      <c r="HA150" s="744"/>
      <c r="HB150" s="744"/>
      <c r="HC150" s="744"/>
      <c r="HD150" s="744"/>
      <c r="HE150" s="744"/>
      <c r="HF150" s="744"/>
      <c r="HG150" s="744"/>
      <c r="HH150" s="744"/>
      <c r="HI150" s="744"/>
      <c r="HJ150" s="744"/>
      <c r="HK150" s="744"/>
      <c r="HL150" s="744"/>
      <c r="HM150" s="744"/>
      <c r="HN150" s="744"/>
      <c r="HO150" s="744"/>
      <c r="HP150" s="744"/>
      <c r="HQ150" s="744"/>
      <c r="HR150" s="744"/>
      <c r="HS150" s="744"/>
      <c r="HT150" s="744"/>
      <c r="HU150" s="744"/>
      <c r="HV150" s="744"/>
      <c r="HW150" s="744"/>
      <c r="HX150" s="744"/>
      <c r="HY150" s="744"/>
      <c r="HZ150" s="744"/>
      <c r="IA150" s="744"/>
      <c r="IB150" s="744"/>
      <c r="IC150" s="744"/>
      <c r="ID150" s="744"/>
      <c r="IE150" s="744"/>
      <c r="IF150" s="744"/>
      <c r="IG150" s="744"/>
      <c r="IH150" s="744"/>
      <c r="II150" s="744"/>
      <c r="IJ150" s="744"/>
      <c r="IK150" s="744"/>
      <c r="IL150" s="744"/>
      <c r="IM150" s="744"/>
      <c r="IN150" s="744"/>
      <c r="IO150" s="744"/>
      <c r="IP150" s="744"/>
      <c r="IQ150" s="744"/>
      <c r="IR150" s="744"/>
      <c r="IS150" s="744"/>
    </row>
    <row r="151" s="73" customFormat="1" ht="22.5" spans="1:253">
      <c r="A151" s="709" t="s">
        <v>260</v>
      </c>
      <c r="B151" s="682" t="s">
        <v>276</v>
      </c>
      <c r="C151" s="732" t="s">
        <v>262</v>
      </c>
      <c r="D151" s="729" t="s">
        <v>17</v>
      </c>
      <c r="E151" s="745">
        <f>'PB VI - Memorial'!E231</f>
        <v>8.1</v>
      </c>
      <c r="F151" s="711">
        <v>39.1</v>
      </c>
      <c r="G151" s="711">
        <f>ROUND(E151*F151,2)</f>
        <v>316.71</v>
      </c>
      <c r="H151" s="724"/>
      <c r="I151" s="724"/>
      <c r="J151" s="724"/>
      <c r="K151" s="724"/>
      <c r="L151" s="724"/>
      <c r="M151" s="724"/>
      <c r="N151" s="741"/>
      <c r="O151" s="741"/>
      <c r="P151" s="741"/>
      <c r="Q151" s="741"/>
      <c r="R151" s="741"/>
      <c r="S151" s="741"/>
      <c r="T151" s="741"/>
      <c r="U151" s="741"/>
      <c r="V151" s="741"/>
      <c r="W151" s="741"/>
      <c r="X151" s="741"/>
      <c r="Y151" s="741"/>
      <c r="Z151" s="741"/>
      <c r="AA151" s="741"/>
      <c r="AB151" s="741"/>
      <c r="AC151" s="741"/>
      <c r="AD151" s="741"/>
      <c r="AE151" s="741"/>
      <c r="AF151" s="741"/>
      <c r="AG151" s="741"/>
      <c r="AH151" s="741"/>
      <c r="AI151" s="741"/>
      <c r="AJ151" s="741"/>
      <c r="AK151" s="741"/>
      <c r="AL151" s="741"/>
      <c r="AM151" s="741"/>
      <c r="AN151" s="741"/>
      <c r="AO151" s="741"/>
      <c r="AP151" s="741"/>
      <c r="AQ151" s="741"/>
      <c r="AR151" s="741"/>
      <c r="AS151" s="741"/>
      <c r="AT151" s="741"/>
      <c r="AU151" s="741"/>
      <c r="AV151" s="741"/>
      <c r="AW151" s="741"/>
      <c r="AX151" s="741"/>
      <c r="AY151" s="741"/>
      <c r="AZ151" s="741"/>
      <c r="BA151" s="741"/>
      <c r="BB151" s="741"/>
      <c r="BC151" s="741"/>
      <c r="BD151" s="741"/>
      <c r="BE151" s="741"/>
      <c r="BF151" s="741"/>
      <c r="BG151" s="741"/>
      <c r="BH151" s="741"/>
      <c r="BI151" s="741"/>
      <c r="BJ151" s="741"/>
      <c r="BK151" s="741"/>
      <c r="BL151" s="741"/>
      <c r="BM151" s="741"/>
      <c r="BN151" s="741"/>
      <c r="BO151" s="741"/>
      <c r="BP151" s="741"/>
      <c r="BQ151" s="741"/>
      <c r="BR151" s="741"/>
      <c r="BS151" s="741"/>
      <c r="BT151" s="741"/>
      <c r="BU151" s="741"/>
      <c r="BV151" s="741"/>
      <c r="BW151" s="744"/>
      <c r="BX151" s="744"/>
      <c r="BY151" s="744"/>
      <c r="BZ151" s="744"/>
      <c r="CA151" s="744"/>
      <c r="CB151" s="744"/>
      <c r="CC151" s="744"/>
      <c r="CD151" s="744"/>
      <c r="CE151" s="744"/>
      <c r="CF151" s="744"/>
      <c r="CG151" s="744"/>
      <c r="CH151" s="744"/>
      <c r="CI151" s="744"/>
      <c r="CJ151" s="744"/>
      <c r="CK151" s="744"/>
      <c r="CL151" s="744"/>
      <c r="CM151" s="744"/>
      <c r="CN151" s="744"/>
      <c r="CO151" s="744"/>
      <c r="CP151" s="744"/>
      <c r="CQ151" s="744"/>
      <c r="CR151" s="744"/>
      <c r="CS151" s="744"/>
      <c r="CT151" s="744"/>
      <c r="CU151" s="744"/>
      <c r="CV151" s="744"/>
      <c r="CW151" s="744"/>
      <c r="CX151" s="744"/>
      <c r="CY151" s="744"/>
      <c r="CZ151" s="744"/>
      <c r="DA151" s="744"/>
      <c r="DB151" s="744"/>
      <c r="DC151" s="744"/>
      <c r="DD151" s="744"/>
      <c r="DE151" s="744"/>
      <c r="DF151" s="744"/>
      <c r="DG151" s="744"/>
      <c r="DH151" s="744"/>
      <c r="DI151" s="744"/>
      <c r="DJ151" s="744"/>
      <c r="DK151" s="744"/>
      <c r="DL151" s="744"/>
      <c r="DM151" s="744"/>
      <c r="DN151" s="744"/>
      <c r="DO151" s="744"/>
      <c r="DP151" s="744"/>
      <c r="DQ151" s="744"/>
      <c r="DR151" s="744"/>
      <c r="DS151" s="744"/>
      <c r="DT151" s="744"/>
      <c r="DU151" s="744"/>
      <c r="DV151" s="744"/>
      <c r="DW151" s="744"/>
      <c r="DX151" s="744"/>
      <c r="DY151" s="744"/>
      <c r="DZ151" s="744"/>
      <c r="EA151" s="744"/>
      <c r="EB151" s="744"/>
      <c r="EC151" s="744"/>
      <c r="ED151" s="744"/>
      <c r="EE151" s="744"/>
      <c r="EF151" s="744"/>
      <c r="EG151" s="744"/>
      <c r="EH151" s="744"/>
      <c r="EI151" s="744"/>
      <c r="EJ151" s="744"/>
      <c r="EK151" s="744"/>
      <c r="EL151" s="744"/>
      <c r="EM151" s="744"/>
      <c r="EN151" s="744"/>
      <c r="EO151" s="744"/>
      <c r="EP151" s="744"/>
      <c r="EQ151" s="744"/>
      <c r="ER151" s="744"/>
      <c r="ES151" s="744"/>
      <c r="ET151" s="744"/>
      <c r="EU151" s="744"/>
      <c r="EV151" s="744"/>
      <c r="EW151" s="744"/>
      <c r="EX151" s="744"/>
      <c r="EY151" s="744"/>
      <c r="EZ151" s="744"/>
      <c r="FA151" s="744"/>
      <c r="FB151" s="744"/>
      <c r="FC151" s="744"/>
      <c r="FD151" s="744"/>
      <c r="FE151" s="744"/>
      <c r="FF151" s="744"/>
      <c r="FG151" s="744"/>
      <c r="FH151" s="744"/>
      <c r="FI151" s="744"/>
      <c r="FJ151" s="744"/>
      <c r="FK151" s="744"/>
      <c r="FL151" s="744"/>
      <c r="FM151" s="744"/>
      <c r="FN151" s="744"/>
      <c r="FO151" s="744"/>
      <c r="FP151" s="744"/>
      <c r="FQ151" s="744"/>
      <c r="FR151" s="744"/>
      <c r="FS151" s="744"/>
      <c r="FT151" s="744"/>
      <c r="FU151" s="744"/>
      <c r="FV151" s="744"/>
      <c r="FW151" s="744"/>
      <c r="FX151" s="744"/>
      <c r="FY151" s="744"/>
      <c r="FZ151" s="744"/>
      <c r="GA151" s="744"/>
      <c r="GB151" s="744"/>
      <c r="GC151" s="744"/>
      <c r="GD151" s="744"/>
      <c r="GE151" s="744"/>
      <c r="GF151" s="744"/>
      <c r="GG151" s="744"/>
      <c r="GH151" s="744"/>
      <c r="GI151" s="744"/>
      <c r="GJ151" s="744"/>
      <c r="GK151" s="744"/>
      <c r="GL151" s="744"/>
      <c r="GM151" s="744"/>
      <c r="GN151" s="744"/>
      <c r="GO151" s="744"/>
      <c r="GP151" s="744"/>
      <c r="GQ151" s="744"/>
      <c r="GR151" s="744"/>
      <c r="GS151" s="744"/>
      <c r="GT151" s="744"/>
      <c r="GU151" s="744"/>
      <c r="GV151" s="744"/>
      <c r="GW151" s="744"/>
      <c r="GX151" s="744"/>
      <c r="GY151" s="744"/>
      <c r="GZ151" s="744"/>
      <c r="HA151" s="744"/>
      <c r="HB151" s="744"/>
      <c r="HC151" s="744"/>
      <c r="HD151" s="744"/>
      <c r="HE151" s="744"/>
      <c r="HF151" s="744"/>
      <c r="HG151" s="744"/>
      <c r="HH151" s="744"/>
      <c r="HI151" s="744"/>
      <c r="HJ151" s="744"/>
      <c r="HK151" s="744"/>
      <c r="HL151" s="744"/>
      <c r="HM151" s="744"/>
      <c r="HN151" s="744"/>
      <c r="HO151" s="744"/>
      <c r="HP151" s="744"/>
      <c r="HQ151" s="744"/>
      <c r="HR151" s="744"/>
      <c r="HS151" s="744"/>
      <c r="HT151" s="744"/>
      <c r="HU151" s="744"/>
      <c r="HV151" s="744"/>
      <c r="HW151" s="744"/>
      <c r="HX151" s="744"/>
      <c r="HY151" s="744"/>
      <c r="HZ151" s="744"/>
      <c r="IA151" s="744"/>
      <c r="IB151" s="744"/>
      <c r="IC151" s="744"/>
      <c r="ID151" s="744"/>
      <c r="IE151" s="744"/>
      <c r="IF151" s="744"/>
      <c r="IG151" s="744"/>
      <c r="IH151" s="744"/>
      <c r="II151" s="744"/>
      <c r="IJ151" s="744"/>
      <c r="IK151" s="744"/>
      <c r="IL151" s="744"/>
      <c r="IM151" s="744"/>
      <c r="IN151" s="744"/>
      <c r="IO151" s="744"/>
      <c r="IP151" s="744"/>
      <c r="IQ151" s="744"/>
      <c r="IR151" s="744"/>
      <c r="IS151" s="744"/>
    </row>
    <row r="152" s="73" customFormat="1" ht="22.5" spans="1:253">
      <c r="A152" s="709" t="s">
        <v>266</v>
      </c>
      <c r="B152" s="682" t="s">
        <v>277</v>
      </c>
      <c r="C152" s="732" t="s">
        <v>278</v>
      </c>
      <c r="D152" s="729" t="s">
        <v>17</v>
      </c>
      <c r="E152" s="745">
        <f>'PB VI - Memorial'!E232</f>
        <v>8.1</v>
      </c>
      <c r="F152" s="711">
        <v>94.65</v>
      </c>
      <c r="G152" s="711">
        <f>ROUND(E152*F152,2)</f>
        <v>766.67</v>
      </c>
      <c r="H152" s="724"/>
      <c r="I152" s="724"/>
      <c r="J152" s="724"/>
      <c r="K152" s="724"/>
      <c r="L152" s="724"/>
      <c r="M152" s="724"/>
      <c r="N152" s="741"/>
      <c r="O152" s="741"/>
      <c r="P152" s="741"/>
      <c r="Q152" s="741"/>
      <c r="R152" s="741"/>
      <c r="S152" s="741"/>
      <c r="T152" s="741"/>
      <c r="U152" s="741"/>
      <c r="V152" s="741"/>
      <c r="W152" s="741"/>
      <c r="X152" s="741"/>
      <c r="Y152" s="741"/>
      <c r="Z152" s="741"/>
      <c r="AA152" s="741"/>
      <c r="AB152" s="741"/>
      <c r="AC152" s="741"/>
      <c r="AD152" s="741"/>
      <c r="AE152" s="741"/>
      <c r="AF152" s="741"/>
      <c r="AG152" s="741"/>
      <c r="AH152" s="741"/>
      <c r="AI152" s="741"/>
      <c r="AJ152" s="741"/>
      <c r="AK152" s="741"/>
      <c r="AL152" s="741"/>
      <c r="AM152" s="741"/>
      <c r="AN152" s="741"/>
      <c r="AO152" s="741"/>
      <c r="AP152" s="741"/>
      <c r="AQ152" s="741"/>
      <c r="AR152" s="741"/>
      <c r="AS152" s="741"/>
      <c r="AT152" s="741"/>
      <c r="AU152" s="741"/>
      <c r="AV152" s="741"/>
      <c r="AW152" s="741"/>
      <c r="AX152" s="741"/>
      <c r="AY152" s="741"/>
      <c r="AZ152" s="741"/>
      <c r="BA152" s="741"/>
      <c r="BB152" s="741"/>
      <c r="BC152" s="741"/>
      <c r="BD152" s="741"/>
      <c r="BE152" s="741"/>
      <c r="BF152" s="741"/>
      <c r="BG152" s="741"/>
      <c r="BH152" s="741"/>
      <c r="BI152" s="741"/>
      <c r="BJ152" s="741"/>
      <c r="BK152" s="741"/>
      <c r="BL152" s="741"/>
      <c r="BM152" s="741"/>
      <c r="BN152" s="741"/>
      <c r="BO152" s="741"/>
      <c r="BP152" s="741"/>
      <c r="BQ152" s="741"/>
      <c r="BR152" s="741"/>
      <c r="BS152" s="741"/>
      <c r="BT152" s="741"/>
      <c r="BU152" s="741"/>
      <c r="BV152" s="741"/>
      <c r="BW152" s="744"/>
      <c r="BX152" s="744"/>
      <c r="BY152" s="744"/>
      <c r="BZ152" s="744"/>
      <c r="CA152" s="744"/>
      <c r="CB152" s="744"/>
      <c r="CC152" s="744"/>
      <c r="CD152" s="744"/>
      <c r="CE152" s="744"/>
      <c r="CF152" s="744"/>
      <c r="CG152" s="744"/>
      <c r="CH152" s="744"/>
      <c r="CI152" s="744"/>
      <c r="CJ152" s="744"/>
      <c r="CK152" s="744"/>
      <c r="CL152" s="744"/>
      <c r="CM152" s="744"/>
      <c r="CN152" s="744"/>
      <c r="CO152" s="744"/>
      <c r="CP152" s="744"/>
      <c r="CQ152" s="744"/>
      <c r="CR152" s="744"/>
      <c r="CS152" s="744"/>
      <c r="CT152" s="744"/>
      <c r="CU152" s="744"/>
      <c r="CV152" s="744"/>
      <c r="CW152" s="744"/>
      <c r="CX152" s="744"/>
      <c r="CY152" s="744"/>
      <c r="CZ152" s="744"/>
      <c r="DA152" s="744"/>
      <c r="DB152" s="744"/>
      <c r="DC152" s="744"/>
      <c r="DD152" s="744"/>
      <c r="DE152" s="744"/>
      <c r="DF152" s="744"/>
      <c r="DG152" s="744"/>
      <c r="DH152" s="744"/>
      <c r="DI152" s="744"/>
      <c r="DJ152" s="744"/>
      <c r="DK152" s="744"/>
      <c r="DL152" s="744"/>
      <c r="DM152" s="744"/>
      <c r="DN152" s="744"/>
      <c r="DO152" s="744"/>
      <c r="DP152" s="744"/>
      <c r="DQ152" s="744"/>
      <c r="DR152" s="744"/>
      <c r="DS152" s="744"/>
      <c r="DT152" s="744"/>
      <c r="DU152" s="744"/>
      <c r="DV152" s="744"/>
      <c r="DW152" s="744"/>
      <c r="DX152" s="744"/>
      <c r="DY152" s="744"/>
      <c r="DZ152" s="744"/>
      <c r="EA152" s="744"/>
      <c r="EB152" s="744"/>
      <c r="EC152" s="744"/>
      <c r="ED152" s="744"/>
      <c r="EE152" s="744"/>
      <c r="EF152" s="744"/>
      <c r="EG152" s="744"/>
      <c r="EH152" s="744"/>
      <c r="EI152" s="744"/>
      <c r="EJ152" s="744"/>
      <c r="EK152" s="744"/>
      <c r="EL152" s="744"/>
      <c r="EM152" s="744"/>
      <c r="EN152" s="744"/>
      <c r="EO152" s="744"/>
      <c r="EP152" s="744"/>
      <c r="EQ152" s="744"/>
      <c r="ER152" s="744"/>
      <c r="ES152" s="744"/>
      <c r="ET152" s="744"/>
      <c r="EU152" s="744"/>
      <c r="EV152" s="744"/>
      <c r="EW152" s="744"/>
      <c r="EX152" s="744"/>
      <c r="EY152" s="744"/>
      <c r="EZ152" s="744"/>
      <c r="FA152" s="744"/>
      <c r="FB152" s="744"/>
      <c r="FC152" s="744"/>
      <c r="FD152" s="744"/>
      <c r="FE152" s="744"/>
      <c r="FF152" s="744"/>
      <c r="FG152" s="744"/>
      <c r="FH152" s="744"/>
      <c r="FI152" s="744"/>
      <c r="FJ152" s="744"/>
      <c r="FK152" s="744"/>
      <c r="FL152" s="744"/>
      <c r="FM152" s="744"/>
      <c r="FN152" s="744"/>
      <c r="FO152" s="744"/>
      <c r="FP152" s="744"/>
      <c r="FQ152" s="744"/>
      <c r="FR152" s="744"/>
      <c r="FS152" s="744"/>
      <c r="FT152" s="744"/>
      <c r="FU152" s="744"/>
      <c r="FV152" s="744"/>
      <c r="FW152" s="744"/>
      <c r="FX152" s="744"/>
      <c r="FY152" s="744"/>
      <c r="FZ152" s="744"/>
      <c r="GA152" s="744"/>
      <c r="GB152" s="744"/>
      <c r="GC152" s="744"/>
      <c r="GD152" s="744"/>
      <c r="GE152" s="744"/>
      <c r="GF152" s="744"/>
      <c r="GG152" s="744"/>
      <c r="GH152" s="744"/>
      <c r="GI152" s="744"/>
      <c r="GJ152" s="744"/>
      <c r="GK152" s="744"/>
      <c r="GL152" s="744"/>
      <c r="GM152" s="744"/>
      <c r="GN152" s="744"/>
      <c r="GO152" s="744"/>
      <c r="GP152" s="744"/>
      <c r="GQ152" s="744"/>
      <c r="GR152" s="744"/>
      <c r="GS152" s="744"/>
      <c r="GT152" s="744"/>
      <c r="GU152" s="744"/>
      <c r="GV152" s="744"/>
      <c r="GW152" s="744"/>
      <c r="GX152" s="744"/>
      <c r="GY152" s="744"/>
      <c r="GZ152" s="744"/>
      <c r="HA152" s="744"/>
      <c r="HB152" s="744"/>
      <c r="HC152" s="744"/>
      <c r="HD152" s="744"/>
      <c r="HE152" s="744"/>
      <c r="HF152" s="744"/>
      <c r="HG152" s="744"/>
      <c r="HH152" s="744"/>
      <c r="HI152" s="744"/>
      <c r="HJ152" s="744"/>
      <c r="HK152" s="744"/>
      <c r="HL152" s="744"/>
      <c r="HM152" s="744"/>
      <c r="HN152" s="744"/>
      <c r="HO152" s="744"/>
      <c r="HP152" s="744"/>
      <c r="HQ152" s="744"/>
      <c r="HR152" s="744"/>
      <c r="HS152" s="744"/>
      <c r="HT152" s="744"/>
      <c r="HU152" s="744"/>
      <c r="HV152" s="744"/>
      <c r="HW152" s="744"/>
      <c r="HX152" s="744"/>
      <c r="HY152" s="744"/>
      <c r="HZ152" s="744"/>
      <c r="IA152" s="744"/>
      <c r="IB152" s="744"/>
      <c r="IC152" s="744"/>
      <c r="ID152" s="744"/>
      <c r="IE152" s="744"/>
      <c r="IF152" s="744"/>
      <c r="IG152" s="744"/>
      <c r="IH152" s="744"/>
      <c r="II152" s="744"/>
      <c r="IJ152" s="744"/>
      <c r="IK152" s="744"/>
      <c r="IL152" s="744"/>
      <c r="IM152" s="744"/>
      <c r="IN152" s="744"/>
      <c r="IO152" s="744"/>
      <c r="IP152" s="744"/>
      <c r="IQ152" s="744"/>
      <c r="IR152" s="744"/>
      <c r="IS152" s="744"/>
    </row>
    <row r="153" s="73" customFormat="1" ht="15" spans="1:253">
      <c r="A153" s="751"/>
      <c r="B153" s="752"/>
      <c r="C153" s="753"/>
      <c r="D153" s="754"/>
      <c r="E153" s="755"/>
      <c r="F153" s="756"/>
      <c r="G153" s="756"/>
      <c r="H153" s="724"/>
      <c r="I153" s="724"/>
      <c r="J153" s="724"/>
      <c r="K153" s="724"/>
      <c r="L153" s="724"/>
      <c r="M153" s="724"/>
      <c r="N153" s="741"/>
      <c r="O153" s="741"/>
      <c r="P153" s="741"/>
      <c r="Q153" s="741"/>
      <c r="R153" s="741"/>
      <c r="S153" s="741"/>
      <c r="T153" s="741"/>
      <c r="U153" s="741"/>
      <c r="V153" s="741"/>
      <c r="W153" s="741"/>
      <c r="X153" s="741"/>
      <c r="Y153" s="741"/>
      <c r="Z153" s="741"/>
      <c r="AA153" s="741"/>
      <c r="AB153" s="741"/>
      <c r="AC153" s="741"/>
      <c r="AD153" s="741"/>
      <c r="AE153" s="741"/>
      <c r="AF153" s="741"/>
      <c r="AG153" s="741"/>
      <c r="AH153" s="741"/>
      <c r="AI153" s="741"/>
      <c r="AJ153" s="741"/>
      <c r="AK153" s="741"/>
      <c r="AL153" s="741"/>
      <c r="AM153" s="741"/>
      <c r="AN153" s="741"/>
      <c r="AO153" s="741"/>
      <c r="AP153" s="741"/>
      <c r="AQ153" s="741"/>
      <c r="AR153" s="741"/>
      <c r="AS153" s="741"/>
      <c r="AT153" s="741"/>
      <c r="AU153" s="741"/>
      <c r="AV153" s="741"/>
      <c r="AW153" s="741"/>
      <c r="AX153" s="741"/>
      <c r="AY153" s="741"/>
      <c r="AZ153" s="741"/>
      <c r="BA153" s="741"/>
      <c r="BB153" s="741"/>
      <c r="BC153" s="741"/>
      <c r="BD153" s="741"/>
      <c r="BE153" s="741"/>
      <c r="BF153" s="741"/>
      <c r="BG153" s="741"/>
      <c r="BH153" s="741"/>
      <c r="BI153" s="741"/>
      <c r="BJ153" s="741"/>
      <c r="BK153" s="741"/>
      <c r="BL153" s="741"/>
      <c r="BM153" s="741"/>
      <c r="BN153" s="741"/>
      <c r="BO153" s="741"/>
      <c r="BP153" s="741"/>
      <c r="BQ153" s="741"/>
      <c r="BR153" s="741"/>
      <c r="BS153" s="741"/>
      <c r="BT153" s="741"/>
      <c r="BU153" s="741"/>
      <c r="BV153" s="741"/>
      <c r="BW153" s="744"/>
      <c r="BX153" s="744"/>
      <c r="BY153" s="744"/>
      <c r="BZ153" s="744"/>
      <c r="CA153" s="744"/>
      <c r="CB153" s="744"/>
      <c r="CC153" s="744"/>
      <c r="CD153" s="744"/>
      <c r="CE153" s="744"/>
      <c r="CF153" s="744"/>
      <c r="CG153" s="744"/>
      <c r="CH153" s="744"/>
      <c r="CI153" s="744"/>
      <c r="CJ153" s="744"/>
      <c r="CK153" s="744"/>
      <c r="CL153" s="744"/>
      <c r="CM153" s="744"/>
      <c r="CN153" s="744"/>
      <c r="CO153" s="744"/>
      <c r="CP153" s="744"/>
      <c r="CQ153" s="744"/>
      <c r="CR153" s="744"/>
      <c r="CS153" s="744"/>
      <c r="CT153" s="744"/>
      <c r="CU153" s="744"/>
      <c r="CV153" s="744"/>
      <c r="CW153" s="744"/>
      <c r="CX153" s="744"/>
      <c r="CY153" s="744"/>
      <c r="CZ153" s="744"/>
      <c r="DA153" s="744"/>
      <c r="DB153" s="744"/>
      <c r="DC153" s="744"/>
      <c r="DD153" s="744"/>
      <c r="DE153" s="744"/>
      <c r="DF153" s="744"/>
      <c r="DG153" s="744"/>
      <c r="DH153" s="744"/>
      <c r="DI153" s="744"/>
      <c r="DJ153" s="744"/>
      <c r="DK153" s="744"/>
      <c r="DL153" s="744"/>
      <c r="DM153" s="744"/>
      <c r="DN153" s="744"/>
      <c r="DO153" s="744"/>
      <c r="DP153" s="744"/>
      <c r="DQ153" s="744"/>
      <c r="DR153" s="744"/>
      <c r="DS153" s="744"/>
      <c r="DT153" s="744"/>
      <c r="DU153" s="744"/>
      <c r="DV153" s="744"/>
      <c r="DW153" s="744"/>
      <c r="DX153" s="744"/>
      <c r="DY153" s="744"/>
      <c r="DZ153" s="744"/>
      <c r="EA153" s="744"/>
      <c r="EB153" s="744"/>
      <c r="EC153" s="744"/>
      <c r="ED153" s="744"/>
      <c r="EE153" s="744"/>
      <c r="EF153" s="744"/>
      <c r="EG153" s="744"/>
      <c r="EH153" s="744"/>
      <c r="EI153" s="744"/>
      <c r="EJ153" s="744"/>
      <c r="EK153" s="744"/>
      <c r="EL153" s="744"/>
      <c r="EM153" s="744"/>
      <c r="EN153" s="744"/>
      <c r="EO153" s="744"/>
      <c r="EP153" s="744"/>
      <c r="EQ153" s="744"/>
      <c r="ER153" s="744"/>
      <c r="ES153" s="744"/>
      <c r="ET153" s="744"/>
      <c r="EU153" s="744"/>
      <c r="EV153" s="744"/>
      <c r="EW153" s="744"/>
      <c r="EX153" s="744"/>
      <c r="EY153" s="744"/>
      <c r="EZ153" s="744"/>
      <c r="FA153" s="744"/>
      <c r="FB153" s="744"/>
      <c r="FC153" s="744"/>
      <c r="FD153" s="744"/>
      <c r="FE153" s="744"/>
      <c r="FF153" s="744"/>
      <c r="FG153" s="744"/>
      <c r="FH153" s="744"/>
      <c r="FI153" s="744"/>
      <c r="FJ153" s="744"/>
      <c r="FK153" s="744"/>
      <c r="FL153" s="744"/>
      <c r="FM153" s="744"/>
      <c r="FN153" s="744"/>
      <c r="FO153" s="744"/>
      <c r="FP153" s="744"/>
      <c r="FQ153" s="744"/>
      <c r="FR153" s="744"/>
      <c r="FS153" s="744"/>
      <c r="FT153" s="744"/>
      <c r="FU153" s="744"/>
      <c r="FV153" s="744"/>
      <c r="FW153" s="744"/>
      <c r="FX153" s="744"/>
      <c r="FY153" s="744"/>
      <c r="FZ153" s="744"/>
      <c r="GA153" s="744"/>
      <c r="GB153" s="744"/>
      <c r="GC153" s="744"/>
      <c r="GD153" s="744"/>
      <c r="GE153" s="744"/>
      <c r="GF153" s="744"/>
      <c r="GG153" s="744"/>
      <c r="GH153" s="744"/>
      <c r="GI153" s="744"/>
      <c r="GJ153" s="744"/>
      <c r="GK153" s="744"/>
      <c r="GL153" s="744"/>
      <c r="GM153" s="744"/>
      <c r="GN153" s="744"/>
      <c r="GO153" s="744"/>
      <c r="GP153" s="744"/>
      <c r="GQ153" s="744"/>
      <c r="GR153" s="744"/>
      <c r="GS153" s="744"/>
      <c r="GT153" s="744"/>
      <c r="GU153" s="744"/>
      <c r="GV153" s="744"/>
      <c r="GW153" s="744"/>
      <c r="GX153" s="744"/>
      <c r="GY153" s="744"/>
      <c r="GZ153" s="744"/>
      <c r="HA153" s="744"/>
      <c r="HB153" s="744"/>
      <c r="HC153" s="744"/>
      <c r="HD153" s="744"/>
      <c r="HE153" s="744"/>
      <c r="HF153" s="744"/>
      <c r="HG153" s="744"/>
      <c r="HH153" s="744"/>
      <c r="HI153" s="744"/>
      <c r="HJ153" s="744"/>
      <c r="HK153" s="744"/>
      <c r="HL153" s="744"/>
      <c r="HM153" s="744"/>
      <c r="HN153" s="744"/>
      <c r="HO153" s="744"/>
      <c r="HP153" s="744"/>
      <c r="HQ153" s="744"/>
      <c r="HR153" s="744"/>
      <c r="HS153" s="744"/>
      <c r="HT153" s="744"/>
      <c r="HU153" s="744"/>
      <c r="HV153" s="744"/>
      <c r="HW153" s="744"/>
      <c r="HX153" s="744"/>
      <c r="HY153" s="744"/>
      <c r="HZ153" s="744"/>
      <c r="IA153" s="744"/>
      <c r="IB153" s="744"/>
      <c r="IC153" s="744"/>
      <c r="ID153" s="744"/>
      <c r="IE153" s="744"/>
      <c r="IF153" s="744"/>
      <c r="IG153" s="744"/>
      <c r="IH153" s="744"/>
      <c r="II153" s="744"/>
      <c r="IJ153" s="744"/>
      <c r="IK153" s="744"/>
      <c r="IL153" s="744"/>
      <c r="IM153" s="744"/>
      <c r="IN153" s="744"/>
      <c r="IO153" s="744"/>
      <c r="IP153" s="744"/>
      <c r="IQ153" s="744"/>
      <c r="IR153" s="744"/>
      <c r="IS153" s="744"/>
    </row>
    <row r="154" s="652" customFormat="1" ht="12.75" spans="1:9">
      <c r="A154" s="672"/>
      <c r="B154" s="666">
        <v>7</v>
      </c>
      <c r="C154" s="671" t="s">
        <v>279</v>
      </c>
      <c r="D154" s="672"/>
      <c r="E154" s="692"/>
      <c r="F154" s="692"/>
      <c r="G154" s="674">
        <f>SUM(G155:G157)</f>
        <v>36891.48</v>
      </c>
      <c r="H154" s="669"/>
      <c r="I154" s="761"/>
    </row>
    <row r="155" s="652" customFormat="1" ht="33.75" spans="1:8">
      <c r="A155" s="687">
        <v>89168</v>
      </c>
      <c r="B155" s="687" t="s">
        <v>280</v>
      </c>
      <c r="C155" s="696" t="s">
        <v>281</v>
      </c>
      <c r="D155" s="687" t="s">
        <v>17</v>
      </c>
      <c r="E155" s="349">
        <f>'PB VI - Memorial'!G265</f>
        <v>564.41</v>
      </c>
      <c r="F155" s="349">
        <v>58.27</v>
      </c>
      <c r="G155" s="702">
        <f>ROUND(E155*F155,2)</f>
        <v>32888.17</v>
      </c>
      <c r="H155" s="679"/>
    </row>
    <row r="156" s="652" customFormat="1" ht="12" spans="1:8">
      <c r="A156" s="687">
        <v>79627</v>
      </c>
      <c r="B156" s="687" t="s">
        <v>282</v>
      </c>
      <c r="C156" s="696" t="s">
        <v>283</v>
      </c>
      <c r="D156" s="687" t="s">
        <v>17</v>
      </c>
      <c r="E156" s="349">
        <f>'PB VI - Memorial'!G269</f>
        <v>6.24</v>
      </c>
      <c r="F156" s="349">
        <v>581.68</v>
      </c>
      <c r="G156" s="702">
        <v>3629.68</v>
      </c>
      <c r="H156" s="679"/>
    </row>
    <row r="157" s="652" customFormat="1" ht="12" spans="1:8">
      <c r="A157" s="687">
        <v>93200</v>
      </c>
      <c r="B157" s="687" t="s">
        <v>284</v>
      </c>
      <c r="C157" s="696" t="s">
        <v>285</v>
      </c>
      <c r="D157" s="687" t="s">
        <v>120</v>
      </c>
      <c r="E157" s="349">
        <f>'PB VI - Memorial'!G272</f>
        <v>175.415</v>
      </c>
      <c r="F157" s="349">
        <v>2.13</v>
      </c>
      <c r="G157" s="702">
        <f>ROUND(E157*F157,2)</f>
        <v>373.63</v>
      </c>
      <c r="H157" s="679"/>
    </row>
    <row r="158" s="652" customFormat="1" ht="12" spans="1:8">
      <c r="A158" s="696"/>
      <c r="B158" s="687"/>
      <c r="C158" s="696"/>
      <c r="D158" s="687"/>
      <c r="E158" s="695"/>
      <c r="F158" s="697"/>
      <c r="G158" s="694"/>
      <c r="H158" s="679"/>
    </row>
    <row r="159" s="652" customFormat="1" ht="12.75" spans="1:8">
      <c r="A159" s="672"/>
      <c r="B159" s="666">
        <v>8</v>
      </c>
      <c r="C159" s="671" t="s">
        <v>286</v>
      </c>
      <c r="D159" s="672"/>
      <c r="E159" s="692"/>
      <c r="F159" s="692"/>
      <c r="G159" s="674">
        <f>SUM(G160:G165)</f>
        <v>42143.63</v>
      </c>
      <c r="H159" s="669"/>
    </row>
    <row r="160" s="652" customFormat="1" ht="22.5" spans="1:8">
      <c r="A160" s="687">
        <v>87879</v>
      </c>
      <c r="B160" s="687" t="s">
        <v>287</v>
      </c>
      <c r="C160" s="696" t="s">
        <v>288</v>
      </c>
      <c r="D160" s="687" t="s">
        <v>17</v>
      </c>
      <c r="E160" s="349">
        <f>'PB VI - Memorial'!G316</f>
        <v>769.43</v>
      </c>
      <c r="F160" s="349">
        <v>3.05</v>
      </c>
      <c r="G160" s="694">
        <f>ROUND(E160*F160,2)</f>
        <v>2346.76</v>
      </c>
      <c r="H160" s="679"/>
    </row>
    <row r="161" s="652" customFormat="1" ht="22.5" spans="1:8">
      <c r="A161" s="687">
        <v>87905</v>
      </c>
      <c r="B161" s="687" t="s">
        <v>289</v>
      </c>
      <c r="C161" s="696" t="s">
        <v>290</v>
      </c>
      <c r="D161" s="687" t="s">
        <v>17</v>
      </c>
      <c r="E161" s="349">
        <f>'PB VI - Memorial'!G286</f>
        <v>439.69</v>
      </c>
      <c r="F161" s="349">
        <v>6.31</v>
      </c>
      <c r="G161" s="694">
        <f t="shared" ref="G161:G164" si="15">ROUND(E161*F161,2)</f>
        <v>2774.44</v>
      </c>
      <c r="H161" s="679"/>
    </row>
    <row r="162" s="652" customFormat="1" ht="33.75" spans="1:8">
      <c r="A162" s="687">
        <v>89173</v>
      </c>
      <c r="B162" s="687" t="s">
        <v>291</v>
      </c>
      <c r="C162" s="696" t="s">
        <v>292</v>
      </c>
      <c r="D162" s="687" t="s">
        <v>17</v>
      </c>
      <c r="E162" s="349">
        <f>'PB VI - Memorial'!G319</f>
        <v>1209.12</v>
      </c>
      <c r="F162" s="349">
        <v>25.24</v>
      </c>
      <c r="G162" s="694">
        <f t="shared" si="15"/>
        <v>30518.19</v>
      </c>
      <c r="H162" s="679"/>
    </row>
    <row r="163" s="652" customFormat="1" ht="22.5" spans="1:8">
      <c r="A163" s="676">
        <v>89170</v>
      </c>
      <c r="B163" s="687" t="s">
        <v>293</v>
      </c>
      <c r="C163" s="675" t="s">
        <v>294</v>
      </c>
      <c r="D163" s="676" t="s">
        <v>17</v>
      </c>
      <c r="E163" s="349">
        <f>'PB VI - Memorial'!G332</f>
        <v>113.62</v>
      </c>
      <c r="F163" s="349">
        <v>38.11</v>
      </c>
      <c r="G163" s="694">
        <f t="shared" si="15"/>
        <v>4330.06</v>
      </c>
      <c r="H163" s="679"/>
    </row>
    <row r="164" s="652" customFormat="1" ht="12" spans="1:8">
      <c r="A164" s="687">
        <v>89170</v>
      </c>
      <c r="B164" s="687" t="s">
        <v>295</v>
      </c>
      <c r="C164" s="696" t="s">
        <v>296</v>
      </c>
      <c r="D164" s="687" t="s">
        <v>17</v>
      </c>
      <c r="E164" s="695">
        <f>'PB VI - Memorial'!G339</f>
        <v>57.05</v>
      </c>
      <c r="F164" s="349">
        <v>38.11</v>
      </c>
      <c r="G164" s="694">
        <f t="shared" si="15"/>
        <v>2174.18</v>
      </c>
      <c r="H164" s="679"/>
    </row>
    <row r="165" s="652" customFormat="1" ht="12" spans="1:8">
      <c r="A165" s="676"/>
      <c r="B165" s="676"/>
      <c r="C165" s="675"/>
      <c r="D165" s="676"/>
      <c r="E165" s="349"/>
      <c r="F165" s="349"/>
      <c r="G165" s="677"/>
      <c r="H165" s="679"/>
    </row>
    <row r="166" s="652" customFormat="1" ht="12.75" spans="1:8">
      <c r="A166" s="672"/>
      <c r="B166" s="666">
        <v>9</v>
      </c>
      <c r="C166" s="671" t="s">
        <v>297</v>
      </c>
      <c r="D166" s="672"/>
      <c r="E166" s="692"/>
      <c r="F166" s="692"/>
      <c r="G166" s="674">
        <f>SUM(G167:G169)</f>
        <v>21072.99</v>
      </c>
      <c r="H166" s="669"/>
    </row>
    <row r="167" s="652" customFormat="1" ht="12" spans="1:8">
      <c r="A167" s="708" t="s">
        <v>122</v>
      </c>
      <c r="B167" s="687" t="s">
        <v>298</v>
      </c>
      <c r="C167" s="696" t="s">
        <v>124</v>
      </c>
      <c r="D167" s="687" t="s">
        <v>17</v>
      </c>
      <c r="E167" s="349">
        <f>'PB VI - Memorial'!G380+'PB VI - Memorial'!G358</f>
        <v>1043.734</v>
      </c>
      <c r="F167" s="349">
        <v>1.55</v>
      </c>
      <c r="G167" s="694">
        <f>ROUND(E167*F167,2)</f>
        <v>1617.79</v>
      </c>
      <c r="H167" s="679"/>
    </row>
    <row r="168" s="652" customFormat="1" ht="12" spans="1:8">
      <c r="A168" s="708">
        <v>88497</v>
      </c>
      <c r="B168" s="687" t="s">
        <v>299</v>
      </c>
      <c r="C168" s="696" t="s">
        <v>300</v>
      </c>
      <c r="D168" s="687" t="s">
        <v>17</v>
      </c>
      <c r="E168" s="349">
        <f>'PB VI - Memorial'!G358+'PB VI - Memorial'!G380</f>
        <v>1043.734</v>
      </c>
      <c r="F168" s="349">
        <v>9.47</v>
      </c>
      <c r="G168" s="694">
        <f t="shared" ref="G168:G169" si="16">ROUND(E168*F168,2)</f>
        <v>9884.16</v>
      </c>
      <c r="H168" s="679"/>
    </row>
    <row r="169" s="652" customFormat="1" ht="22.5" spans="1:8">
      <c r="A169" s="708" t="s">
        <v>125</v>
      </c>
      <c r="B169" s="687" t="s">
        <v>301</v>
      </c>
      <c r="C169" s="696" t="s">
        <v>127</v>
      </c>
      <c r="D169" s="687" t="s">
        <v>17</v>
      </c>
      <c r="E169" s="349">
        <f>E168</f>
        <v>1043.734</v>
      </c>
      <c r="F169" s="349">
        <v>9.17</v>
      </c>
      <c r="G169" s="694">
        <f t="shared" si="16"/>
        <v>9571.04</v>
      </c>
      <c r="H169" s="679"/>
    </row>
    <row r="170" s="652" customFormat="1" ht="12" spans="1:8">
      <c r="A170" s="687"/>
      <c r="B170" s="687"/>
      <c r="C170" s="696"/>
      <c r="D170" s="687"/>
      <c r="E170" s="349"/>
      <c r="F170" s="349"/>
      <c r="G170" s="694"/>
      <c r="H170" s="679"/>
    </row>
    <row r="171" s="652" customFormat="1" ht="14.25" spans="1:8">
      <c r="A171" s="672"/>
      <c r="B171" s="666">
        <v>10</v>
      </c>
      <c r="C171" s="671" t="s">
        <v>302</v>
      </c>
      <c r="D171" s="672"/>
      <c r="E171" s="692"/>
      <c r="F171" s="692"/>
      <c r="G171" s="674">
        <f>SUM(G173:G190)</f>
        <v>28657.22</v>
      </c>
      <c r="H171" s="757"/>
    </row>
    <row r="172" s="652" customFormat="1" ht="12" spans="1:8">
      <c r="A172" s="696"/>
      <c r="B172" s="758" t="s">
        <v>303</v>
      </c>
      <c r="C172" s="759" t="s">
        <v>304</v>
      </c>
      <c r="D172" s="687"/>
      <c r="E172" s="695"/>
      <c r="F172" s="699"/>
      <c r="G172" s="694"/>
      <c r="H172" s="679"/>
    </row>
    <row r="173" s="652" customFormat="1" ht="22.5" spans="1:8">
      <c r="A173" s="676">
        <v>91314</v>
      </c>
      <c r="B173" s="676" t="s">
        <v>305</v>
      </c>
      <c r="C173" s="348" t="s">
        <v>306</v>
      </c>
      <c r="D173" s="676" t="s">
        <v>21</v>
      </c>
      <c r="E173" s="349">
        <f>'PB VI - Memorial'!F384</f>
        <v>14</v>
      </c>
      <c r="F173" s="678">
        <v>579.3</v>
      </c>
      <c r="G173" s="677">
        <f t="shared" ref="G173:G180" si="17">ROUND(E173*F173,2)</f>
        <v>8110.2</v>
      </c>
      <c r="H173" s="679"/>
    </row>
    <row r="174" s="652" customFormat="1" ht="22.5" spans="1:8">
      <c r="A174" s="676">
        <v>91315</v>
      </c>
      <c r="B174" s="676" t="s">
        <v>307</v>
      </c>
      <c r="C174" s="348" t="s">
        <v>308</v>
      </c>
      <c r="D174" s="676" t="s">
        <v>21</v>
      </c>
      <c r="E174" s="349">
        <f>'PB VI - Memorial'!F385</f>
        <v>1</v>
      </c>
      <c r="F174" s="678">
        <v>608.18</v>
      </c>
      <c r="G174" s="677">
        <f t="shared" si="17"/>
        <v>608.18</v>
      </c>
      <c r="H174" s="679"/>
    </row>
    <row r="175" s="652" customFormat="1" ht="22.5" spans="1:8">
      <c r="A175" s="676" t="s">
        <v>309</v>
      </c>
      <c r="B175" s="676" t="s">
        <v>310</v>
      </c>
      <c r="C175" s="348" t="s">
        <v>311</v>
      </c>
      <c r="D175" s="676" t="s">
        <v>21</v>
      </c>
      <c r="E175" s="349">
        <f>'PB VI - Memorial'!F386</f>
        <v>2</v>
      </c>
      <c r="F175" s="678">
        <f>'PB VIII - Composições Auxilia'!F40</f>
        <v>1158.6</v>
      </c>
      <c r="G175" s="677">
        <f t="shared" si="17"/>
        <v>2317.2</v>
      </c>
      <c r="H175" s="679"/>
    </row>
    <row r="176" s="652" customFormat="1" ht="22.5" spans="1:8">
      <c r="A176" s="708" t="s">
        <v>312</v>
      </c>
      <c r="B176" s="676" t="s">
        <v>313</v>
      </c>
      <c r="C176" s="348" t="s">
        <v>314</v>
      </c>
      <c r="D176" s="676" t="s">
        <v>21</v>
      </c>
      <c r="E176" s="349">
        <f>'PB VI - Memorial'!F387</f>
        <v>1</v>
      </c>
      <c r="F176" s="678">
        <f>'PB VIII - Composições Auxilia'!F49</f>
        <v>2681.87</v>
      </c>
      <c r="G176" s="677">
        <f t="shared" si="17"/>
        <v>2681.87</v>
      </c>
      <c r="H176" s="679"/>
    </row>
    <row r="177" s="652" customFormat="1" ht="12" spans="1:8">
      <c r="A177" s="708" t="s">
        <v>315</v>
      </c>
      <c r="B177" s="676" t="s">
        <v>316</v>
      </c>
      <c r="C177" s="348" t="s">
        <v>317</v>
      </c>
      <c r="D177" s="676" t="s">
        <v>17</v>
      </c>
      <c r="E177" s="349">
        <f>'PB VI - Memorial'!D388</f>
        <v>3.24</v>
      </c>
      <c r="F177" s="678">
        <v>793.83</v>
      </c>
      <c r="G177" s="677">
        <f t="shared" si="17"/>
        <v>2572.01</v>
      </c>
      <c r="H177" s="679"/>
    </row>
    <row r="178" s="652" customFormat="1" ht="12" spans="1:8">
      <c r="A178" s="708" t="s">
        <v>318</v>
      </c>
      <c r="B178" s="676" t="s">
        <v>319</v>
      </c>
      <c r="C178" s="348" t="s">
        <v>320</v>
      </c>
      <c r="D178" s="676" t="s">
        <v>17</v>
      </c>
      <c r="E178" s="349">
        <f>'PB VI - Memorial'!D389</f>
        <v>2.94</v>
      </c>
      <c r="F178" s="678">
        <v>474.65</v>
      </c>
      <c r="G178" s="677">
        <f t="shared" si="17"/>
        <v>1395.47</v>
      </c>
      <c r="H178" s="679"/>
    </row>
    <row r="179" s="652" customFormat="1" ht="12" spans="1:8">
      <c r="A179" s="708" t="s">
        <v>321</v>
      </c>
      <c r="B179" s="676" t="s">
        <v>322</v>
      </c>
      <c r="C179" s="348" t="s">
        <v>323</v>
      </c>
      <c r="D179" s="676" t="s">
        <v>120</v>
      </c>
      <c r="E179" s="349">
        <f>'PB VI - Memorial'!G392</f>
        <v>13.5</v>
      </c>
      <c r="F179" s="678">
        <v>36.4</v>
      </c>
      <c r="G179" s="677">
        <f t="shared" si="17"/>
        <v>491.4</v>
      </c>
      <c r="H179" s="679"/>
    </row>
    <row r="180" s="652" customFormat="1" ht="12" spans="1:8">
      <c r="A180" s="708" t="s">
        <v>324</v>
      </c>
      <c r="B180" s="676" t="s">
        <v>325</v>
      </c>
      <c r="C180" s="348" t="s">
        <v>326</v>
      </c>
      <c r="D180" s="676" t="s">
        <v>120</v>
      </c>
      <c r="E180" s="349">
        <f>'PB VI - Memorial'!G393</f>
        <v>7</v>
      </c>
      <c r="F180" s="678">
        <v>44.41</v>
      </c>
      <c r="G180" s="677">
        <f t="shared" si="17"/>
        <v>310.87</v>
      </c>
      <c r="H180" s="679"/>
    </row>
    <row r="181" s="652" customFormat="1" ht="12" spans="1:8">
      <c r="A181" s="708"/>
      <c r="B181" s="676"/>
      <c r="C181" s="348"/>
      <c r="D181" s="676"/>
      <c r="E181" s="349"/>
      <c r="F181" s="678"/>
      <c r="G181" s="677"/>
      <c r="H181" s="679"/>
    </row>
    <row r="182" s="652" customFormat="1" ht="12" spans="1:8">
      <c r="A182" s="675"/>
      <c r="B182" s="680" t="s">
        <v>327</v>
      </c>
      <c r="C182" s="760" t="s">
        <v>328</v>
      </c>
      <c r="D182" s="676"/>
      <c r="E182" s="349"/>
      <c r="F182" s="678"/>
      <c r="G182" s="677"/>
      <c r="H182" s="679"/>
    </row>
    <row r="183" s="652" customFormat="1" ht="12" spans="1:8">
      <c r="A183" s="676">
        <v>94582</v>
      </c>
      <c r="B183" s="676" t="s">
        <v>329</v>
      </c>
      <c r="C183" s="675" t="s">
        <v>330</v>
      </c>
      <c r="D183" s="676" t="s">
        <v>17</v>
      </c>
      <c r="E183" s="349">
        <f>'PB VI - Memorial'!G397</f>
        <v>1.2</v>
      </c>
      <c r="F183" s="678">
        <v>362.35</v>
      </c>
      <c r="G183" s="677">
        <f t="shared" ref="G183:G190" si="18">ROUND(E183*F183,2)</f>
        <v>434.82</v>
      </c>
      <c r="H183" s="679"/>
    </row>
    <row r="184" s="652" customFormat="1" ht="12" spans="1:8">
      <c r="A184" s="676">
        <v>94582</v>
      </c>
      <c r="B184" s="676" t="s">
        <v>331</v>
      </c>
      <c r="C184" s="675" t="s">
        <v>332</v>
      </c>
      <c r="D184" s="676" t="s">
        <v>17</v>
      </c>
      <c r="E184" s="349">
        <f>'PB VI - Memorial'!G398</f>
        <v>1.8</v>
      </c>
      <c r="F184" s="678">
        <v>362.35</v>
      </c>
      <c r="G184" s="677">
        <f t="shared" si="18"/>
        <v>652.23</v>
      </c>
      <c r="H184" s="679"/>
    </row>
    <row r="185" s="652" customFormat="1" ht="12" spans="1:8">
      <c r="A185" s="676">
        <v>94582</v>
      </c>
      <c r="B185" s="676" t="s">
        <v>333</v>
      </c>
      <c r="C185" s="675" t="s">
        <v>334</v>
      </c>
      <c r="D185" s="676" t="s">
        <v>17</v>
      </c>
      <c r="E185" s="349">
        <f>'PB VI - Memorial'!G399</f>
        <v>3.45</v>
      </c>
      <c r="F185" s="678">
        <v>362.35</v>
      </c>
      <c r="G185" s="677">
        <f t="shared" si="18"/>
        <v>1250.11</v>
      </c>
      <c r="H185" s="679"/>
    </row>
    <row r="186" s="652" customFormat="1" ht="12" spans="1:8">
      <c r="A186" s="676">
        <v>94582</v>
      </c>
      <c r="B186" s="676" t="s">
        <v>335</v>
      </c>
      <c r="C186" s="675" t="s">
        <v>336</v>
      </c>
      <c r="D186" s="676" t="s">
        <v>17</v>
      </c>
      <c r="E186" s="349">
        <f>'PB VI - Memorial'!G400</f>
        <v>16.1</v>
      </c>
      <c r="F186" s="678">
        <v>362.35</v>
      </c>
      <c r="G186" s="677">
        <f t="shared" si="18"/>
        <v>5833.84</v>
      </c>
      <c r="H186" s="679"/>
    </row>
    <row r="187" s="652" customFormat="1" ht="12" spans="1:8">
      <c r="A187" s="676">
        <v>93186</v>
      </c>
      <c r="B187" s="676" t="s">
        <v>337</v>
      </c>
      <c r="C187" s="348" t="s">
        <v>338</v>
      </c>
      <c r="D187" s="676" t="s">
        <v>120</v>
      </c>
      <c r="E187" s="349">
        <f>'PB VI - Memorial'!G404</f>
        <v>11</v>
      </c>
      <c r="F187" s="678">
        <v>38</v>
      </c>
      <c r="G187" s="677">
        <f t="shared" si="18"/>
        <v>418</v>
      </c>
      <c r="H187" s="679"/>
    </row>
    <row r="188" s="652" customFormat="1" ht="12" spans="1:8">
      <c r="A188" s="676">
        <v>93187</v>
      </c>
      <c r="B188" s="676" t="s">
        <v>339</v>
      </c>
      <c r="C188" s="348" t="s">
        <v>340</v>
      </c>
      <c r="D188" s="676" t="s">
        <v>120</v>
      </c>
      <c r="E188" s="349">
        <f>'PB VI - Memorial'!G403</f>
        <v>14</v>
      </c>
      <c r="F188" s="678">
        <v>43.93</v>
      </c>
      <c r="G188" s="677">
        <f t="shared" si="18"/>
        <v>615.02</v>
      </c>
      <c r="H188" s="679"/>
    </row>
    <row r="189" s="652" customFormat="1" ht="22.5" spans="1:8">
      <c r="A189" s="676">
        <v>93196</v>
      </c>
      <c r="B189" s="676" t="s">
        <v>341</v>
      </c>
      <c r="C189" s="348" t="s">
        <v>342</v>
      </c>
      <c r="D189" s="676" t="s">
        <v>120</v>
      </c>
      <c r="E189" s="349">
        <f>'PB VI - Memorial'!G404</f>
        <v>11</v>
      </c>
      <c r="F189" s="678">
        <v>36.4</v>
      </c>
      <c r="G189" s="677">
        <f t="shared" si="18"/>
        <v>400.4</v>
      </c>
      <c r="H189" s="679"/>
    </row>
    <row r="190" s="652" customFormat="1" ht="22.5" spans="1:8">
      <c r="A190" s="676">
        <v>93197</v>
      </c>
      <c r="B190" s="676" t="s">
        <v>343</v>
      </c>
      <c r="C190" s="348" t="s">
        <v>344</v>
      </c>
      <c r="D190" s="676" t="s">
        <v>120</v>
      </c>
      <c r="E190" s="349">
        <f>'PB VI - Memorial'!G405</f>
        <v>14</v>
      </c>
      <c r="F190" s="678">
        <v>40.4</v>
      </c>
      <c r="G190" s="677">
        <f t="shared" si="18"/>
        <v>565.6</v>
      </c>
      <c r="H190" s="679"/>
    </row>
    <row r="191" s="652" customFormat="1" ht="12" spans="1:8">
      <c r="A191" s="758"/>
      <c r="B191" s="758"/>
      <c r="C191" s="696"/>
      <c r="D191" s="687"/>
      <c r="E191" s="695"/>
      <c r="F191" s="695"/>
      <c r="G191" s="694"/>
      <c r="H191" s="679"/>
    </row>
    <row r="192" s="652" customFormat="1" ht="12" spans="1:8">
      <c r="A192" s="672"/>
      <c r="B192" s="718" t="s">
        <v>345</v>
      </c>
      <c r="C192" s="719" t="s">
        <v>346</v>
      </c>
      <c r="D192" s="720"/>
      <c r="E192" s="721"/>
      <c r="F192" s="722"/>
      <c r="G192" s="723">
        <f>SUM(G193:G195)</f>
        <v>5190.66</v>
      </c>
      <c r="H192" s="679"/>
    </row>
    <row r="193" s="652" customFormat="1" ht="12" spans="1:8">
      <c r="A193" s="709" t="s">
        <v>347</v>
      </c>
      <c r="B193" s="729" t="s">
        <v>348</v>
      </c>
      <c r="C193" s="732" t="s">
        <v>349</v>
      </c>
      <c r="D193" s="729" t="s">
        <v>120</v>
      </c>
      <c r="E193" s="745">
        <f>'PB VI - Memorial'!G410</f>
        <v>20.5</v>
      </c>
      <c r="F193" s="711">
        <v>73.62</v>
      </c>
      <c r="G193" s="711">
        <f>ROUND(E193*F193,2)</f>
        <v>1509.21</v>
      </c>
      <c r="H193" s="679"/>
    </row>
    <row r="194" s="652" customFormat="1" ht="12" spans="1:8">
      <c r="A194" s="709" t="s">
        <v>350</v>
      </c>
      <c r="B194" s="729" t="s">
        <v>351</v>
      </c>
      <c r="C194" s="732" t="s">
        <v>352</v>
      </c>
      <c r="D194" s="729" t="s">
        <v>120</v>
      </c>
      <c r="E194" s="745">
        <f>'PB VI - Memorial'!G413</f>
        <v>25</v>
      </c>
      <c r="F194" s="711">
        <v>102.63</v>
      </c>
      <c r="G194" s="711">
        <f>ROUND(E194*F194,2)</f>
        <v>2565.75</v>
      </c>
      <c r="H194" s="679"/>
    </row>
    <row r="195" s="652" customFormat="1" ht="12" spans="1:8">
      <c r="A195" s="709" t="s">
        <v>353</v>
      </c>
      <c r="B195" s="729" t="s">
        <v>354</v>
      </c>
      <c r="C195" s="732" t="s">
        <v>355</v>
      </c>
      <c r="D195" s="729" t="s">
        <v>120</v>
      </c>
      <c r="E195" s="745">
        <f>'PB VI - Memorial'!G433</f>
        <v>220.06</v>
      </c>
      <c r="F195" s="711">
        <v>5.07</v>
      </c>
      <c r="G195" s="711">
        <f>ROUND(E195*F195,2)</f>
        <v>1115.7</v>
      </c>
      <c r="H195" s="679"/>
    </row>
    <row r="196" s="652" customFormat="1" ht="12" spans="1:8">
      <c r="A196" s="758"/>
      <c r="B196" s="758"/>
      <c r="C196" s="696"/>
      <c r="D196" s="687"/>
      <c r="E196" s="695"/>
      <c r="F196" s="695"/>
      <c r="G196" s="694"/>
      <c r="H196" s="679"/>
    </row>
    <row r="197" s="652" customFormat="1" ht="12.75" spans="1:8">
      <c r="A197" s="672"/>
      <c r="B197" s="666">
        <v>12</v>
      </c>
      <c r="C197" s="671" t="s">
        <v>356</v>
      </c>
      <c r="D197" s="672"/>
      <c r="E197" s="692"/>
      <c r="F197" s="692"/>
      <c r="G197" s="674">
        <f>SUM(G198:G198)</f>
        <v>17106.01</v>
      </c>
      <c r="H197" s="669"/>
    </row>
    <row r="198" s="652" customFormat="1" ht="33.75" spans="1:8">
      <c r="A198" s="676" t="s">
        <v>357</v>
      </c>
      <c r="B198" s="676" t="s">
        <v>358</v>
      </c>
      <c r="C198" s="675" t="s">
        <v>359</v>
      </c>
      <c r="D198" s="676" t="s">
        <v>17</v>
      </c>
      <c r="E198" s="349">
        <f>'PB VI - Memorial'!G456</f>
        <v>203.74</v>
      </c>
      <c r="F198" s="678">
        <f>'PB VIII - Composições Auxilia'!F54</f>
        <v>83.96</v>
      </c>
      <c r="G198" s="677">
        <f>ROUND(E198*F198,2)</f>
        <v>17106.01</v>
      </c>
      <c r="H198" s="679"/>
    </row>
    <row r="199" s="652" customFormat="1" ht="12" spans="1:8">
      <c r="A199" s="675"/>
      <c r="B199" s="676"/>
      <c r="C199" s="348"/>
      <c r="D199" s="676"/>
      <c r="E199" s="349"/>
      <c r="F199" s="678"/>
      <c r="G199" s="677"/>
      <c r="H199" s="679"/>
    </row>
    <row r="200" s="652" customFormat="1" ht="12" spans="1:8">
      <c r="A200" s="672"/>
      <c r="B200" s="666">
        <v>13</v>
      </c>
      <c r="C200" s="671" t="s">
        <v>360</v>
      </c>
      <c r="D200" s="672"/>
      <c r="E200" s="692"/>
      <c r="F200" s="692"/>
      <c r="G200" s="674">
        <f>SUM(G201:G205)</f>
        <v>20938.3</v>
      </c>
      <c r="H200" s="679"/>
    </row>
    <row r="201" s="652" customFormat="1" ht="12" spans="1:8">
      <c r="A201" s="676">
        <v>92580</v>
      </c>
      <c r="B201" s="676" t="s">
        <v>361</v>
      </c>
      <c r="C201" s="348" t="s">
        <v>362</v>
      </c>
      <c r="D201" s="676" t="s">
        <v>17</v>
      </c>
      <c r="E201" s="349">
        <f>'PB VI - Memorial'!E460</f>
        <v>241</v>
      </c>
      <c r="F201" s="678">
        <v>23.33</v>
      </c>
      <c r="G201" s="677">
        <f>ROUND(E201*F201,2)</f>
        <v>5622.53</v>
      </c>
      <c r="H201" s="679"/>
    </row>
    <row r="202" s="652" customFormat="1" ht="12" spans="1:8">
      <c r="A202" s="676">
        <v>94213</v>
      </c>
      <c r="B202" s="676" t="s">
        <v>363</v>
      </c>
      <c r="C202" s="348" t="s">
        <v>364</v>
      </c>
      <c r="D202" s="676" t="s">
        <v>17</v>
      </c>
      <c r="E202" s="349">
        <f>'PB VI - Memorial'!E461</f>
        <v>241</v>
      </c>
      <c r="F202" s="678">
        <v>38.2</v>
      </c>
      <c r="G202" s="677">
        <f>ROUND(E202*F202,2)</f>
        <v>9206.2</v>
      </c>
      <c r="H202" s="679"/>
    </row>
    <row r="203" s="652" customFormat="1" ht="22.5" spans="1:8">
      <c r="A203" s="676" t="s">
        <v>365</v>
      </c>
      <c r="B203" s="676" t="s">
        <v>366</v>
      </c>
      <c r="C203" s="348" t="s">
        <v>367</v>
      </c>
      <c r="D203" s="676" t="s">
        <v>17</v>
      </c>
      <c r="E203" s="349">
        <f>'PB VI - Memorial'!E462</f>
        <v>241</v>
      </c>
      <c r="F203" s="678">
        <v>11.79</v>
      </c>
      <c r="G203" s="677">
        <f>ROUND(E203*F203,2)</f>
        <v>2841.39</v>
      </c>
      <c r="H203" s="679"/>
    </row>
    <row r="204" s="652" customFormat="1" ht="22.5" spans="1:8">
      <c r="A204" s="676" t="s">
        <v>368</v>
      </c>
      <c r="B204" s="676" t="s">
        <v>369</v>
      </c>
      <c r="C204" s="348" t="s">
        <v>370</v>
      </c>
      <c r="D204" s="676" t="s">
        <v>120</v>
      </c>
      <c r="E204" s="349">
        <f>'PB VI - Memorial'!D463</f>
        <v>29.7</v>
      </c>
      <c r="F204" s="678">
        <f>'PB VIII - Composições Auxilia'!F70</f>
        <v>85.25</v>
      </c>
      <c r="G204" s="677">
        <f>ROUND(E204*F204,2)</f>
        <v>2531.93</v>
      </c>
      <c r="H204" s="679"/>
    </row>
    <row r="205" s="652" customFormat="1" ht="12" spans="1:8">
      <c r="A205" s="676">
        <v>75220</v>
      </c>
      <c r="B205" s="676" t="s">
        <v>371</v>
      </c>
      <c r="C205" s="348" t="s">
        <v>372</v>
      </c>
      <c r="D205" s="676" t="s">
        <v>120</v>
      </c>
      <c r="E205" s="349">
        <f>'PB VI - Memorial'!D464</f>
        <v>23.47</v>
      </c>
      <c r="F205" s="678">
        <v>31.37</v>
      </c>
      <c r="G205" s="677">
        <f>ROUND(E205*F205,2)</f>
        <v>736.25</v>
      </c>
      <c r="H205" s="679"/>
    </row>
    <row r="206" s="652" customFormat="1" ht="12" spans="1:8">
      <c r="A206" s="676"/>
      <c r="B206" s="676"/>
      <c r="C206" s="348"/>
      <c r="D206" s="676"/>
      <c r="E206" s="349"/>
      <c r="F206" s="678"/>
      <c r="G206" s="677"/>
      <c r="H206" s="679"/>
    </row>
    <row r="207" s="652" customFormat="1" ht="12" spans="1:8">
      <c r="A207" s="672"/>
      <c r="B207" s="666">
        <v>14</v>
      </c>
      <c r="C207" s="671" t="s">
        <v>373</v>
      </c>
      <c r="D207" s="672"/>
      <c r="E207" s="692"/>
      <c r="F207" s="692"/>
      <c r="G207" s="674">
        <f>SUM(G208:G221)</f>
        <v>3471.63</v>
      </c>
      <c r="H207" s="679"/>
    </row>
    <row r="208" s="652" customFormat="1" ht="12" spans="1:8">
      <c r="A208" s="708" t="s">
        <v>374</v>
      </c>
      <c r="B208" s="676" t="s">
        <v>375</v>
      </c>
      <c r="C208" s="348" t="s">
        <v>376</v>
      </c>
      <c r="D208" s="676" t="s">
        <v>120</v>
      </c>
      <c r="E208" s="349">
        <f>'PB VI - Memorial'!G468</f>
        <v>44.61</v>
      </c>
      <c r="F208" s="688">
        <v>14.93</v>
      </c>
      <c r="G208" s="677">
        <f>ROUND(E208*F208,2)</f>
        <v>666.03</v>
      </c>
      <c r="H208" s="679"/>
    </row>
    <row r="209" s="652" customFormat="1" ht="12" spans="1:8">
      <c r="A209" s="708" t="s">
        <v>377</v>
      </c>
      <c r="B209" s="676" t="s">
        <v>378</v>
      </c>
      <c r="C209" s="348" t="s">
        <v>379</v>
      </c>
      <c r="D209" s="676" t="s">
        <v>120</v>
      </c>
      <c r="E209" s="349">
        <f>'PB VI - Memorial'!G469</f>
        <v>18.61</v>
      </c>
      <c r="F209" s="688">
        <v>19.81</v>
      </c>
      <c r="G209" s="677">
        <f>ROUND(E209*F209,2)</f>
        <v>368.66</v>
      </c>
      <c r="H209" s="679"/>
    </row>
    <row r="210" s="652" customFormat="1" ht="12" spans="1:8">
      <c r="A210" s="676">
        <v>88503</v>
      </c>
      <c r="B210" s="676" t="s">
        <v>380</v>
      </c>
      <c r="C210" s="675" t="s">
        <v>381</v>
      </c>
      <c r="D210" s="676" t="s">
        <v>21</v>
      </c>
      <c r="E210" s="349">
        <v>1</v>
      </c>
      <c r="F210" s="349">
        <v>640.45</v>
      </c>
      <c r="G210" s="677">
        <f>ROUND(E210*F210,2)</f>
        <v>640.45</v>
      </c>
      <c r="H210" s="679"/>
    </row>
    <row r="211" s="652" customFormat="1" ht="12" spans="1:8">
      <c r="A211" s="676">
        <v>90443</v>
      </c>
      <c r="B211" s="676" t="s">
        <v>382</v>
      </c>
      <c r="C211" s="675" t="s">
        <v>383</v>
      </c>
      <c r="D211" s="676" t="s">
        <v>120</v>
      </c>
      <c r="E211" s="349">
        <f>'PB VI - Memorial'!G468+'PB VI - Memorial'!G469</f>
        <v>63.22</v>
      </c>
      <c r="F211" s="349">
        <v>9.58</v>
      </c>
      <c r="G211" s="677">
        <f t="shared" ref="G211:G215" si="19">ROUND(E211*F211,2)</f>
        <v>605.65</v>
      </c>
      <c r="H211" s="679"/>
    </row>
    <row r="212" s="652" customFormat="1" ht="12" spans="1:8">
      <c r="A212" s="676">
        <v>90466</v>
      </c>
      <c r="B212" s="676" t="s">
        <v>384</v>
      </c>
      <c r="C212" s="675" t="s">
        <v>385</v>
      </c>
      <c r="D212" s="676" t="s">
        <v>120</v>
      </c>
      <c r="E212" s="349">
        <f>E211</f>
        <v>63.22</v>
      </c>
      <c r="F212" s="349">
        <v>9.66</v>
      </c>
      <c r="G212" s="677">
        <f t="shared" si="19"/>
        <v>610.71</v>
      </c>
      <c r="H212" s="679"/>
    </row>
    <row r="213" s="652" customFormat="1" ht="12" spans="1:8">
      <c r="A213" s="676">
        <v>89362</v>
      </c>
      <c r="B213" s="676" t="s">
        <v>386</v>
      </c>
      <c r="C213" s="675" t="s">
        <v>387</v>
      </c>
      <c r="D213" s="676" t="s">
        <v>21</v>
      </c>
      <c r="E213" s="349">
        <v>11</v>
      </c>
      <c r="F213" s="349">
        <v>6.23</v>
      </c>
      <c r="G213" s="677">
        <f t="shared" si="19"/>
        <v>68.53</v>
      </c>
      <c r="H213" s="679"/>
    </row>
    <row r="214" s="652" customFormat="1" ht="12" spans="1:8">
      <c r="A214" s="676">
        <v>89395</v>
      </c>
      <c r="B214" s="676" t="s">
        <v>388</v>
      </c>
      <c r="C214" s="675" t="s">
        <v>389</v>
      </c>
      <c r="D214" s="676" t="s">
        <v>21</v>
      </c>
      <c r="E214" s="349">
        <v>4</v>
      </c>
      <c r="F214" s="349">
        <v>8.62</v>
      </c>
      <c r="G214" s="677">
        <f t="shared" si="19"/>
        <v>34.48</v>
      </c>
      <c r="H214" s="679"/>
    </row>
    <row r="215" s="652" customFormat="1" ht="12" spans="1:8">
      <c r="A215" s="676">
        <v>89398</v>
      </c>
      <c r="B215" s="676" t="s">
        <v>390</v>
      </c>
      <c r="C215" s="675" t="s">
        <v>391</v>
      </c>
      <c r="D215" s="676" t="s">
        <v>21</v>
      </c>
      <c r="E215" s="349">
        <v>2</v>
      </c>
      <c r="F215" s="349">
        <v>11.46</v>
      </c>
      <c r="G215" s="677">
        <f t="shared" si="19"/>
        <v>22.92</v>
      </c>
      <c r="H215" s="679"/>
    </row>
    <row r="216" s="652" customFormat="1" ht="12" spans="1:8">
      <c r="A216" s="676"/>
      <c r="B216" s="676"/>
      <c r="C216" s="675"/>
      <c r="D216" s="676"/>
      <c r="E216" s="349"/>
      <c r="F216" s="349"/>
      <c r="G216" s="677"/>
      <c r="H216" s="679"/>
    </row>
    <row r="217" s="652" customFormat="1" ht="12" spans="1:8">
      <c r="A217" s="676"/>
      <c r="B217" s="676"/>
      <c r="C217" s="760" t="s">
        <v>392</v>
      </c>
      <c r="D217" s="676"/>
      <c r="E217" s="349"/>
      <c r="F217" s="349"/>
      <c r="G217" s="677"/>
      <c r="H217" s="679"/>
    </row>
    <row r="218" s="652" customFormat="1" ht="22.5" spans="1:8">
      <c r="A218" s="676">
        <v>95634</v>
      </c>
      <c r="B218" s="676" t="s">
        <v>393</v>
      </c>
      <c r="C218" s="675" t="s">
        <v>394</v>
      </c>
      <c r="D218" s="676" t="s">
        <v>21</v>
      </c>
      <c r="E218" s="349">
        <v>1</v>
      </c>
      <c r="F218" s="349">
        <v>89.76</v>
      </c>
      <c r="G218" s="677">
        <f>ROUND(E218*F218,2)</f>
        <v>89.76</v>
      </c>
      <c r="H218" s="679"/>
    </row>
    <row r="219" s="652" customFormat="1" ht="12" spans="1:8">
      <c r="A219" s="676">
        <v>94795</v>
      </c>
      <c r="B219" s="676" t="s">
        <v>395</v>
      </c>
      <c r="C219" s="675" t="s">
        <v>396</v>
      </c>
      <c r="D219" s="676" t="s">
        <v>21</v>
      </c>
      <c r="E219" s="349">
        <v>1</v>
      </c>
      <c r="F219" s="349">
        <v>21.1</v>
      </c>
      <c r="G219" s="677">
        <f>ROUND(E219*F219,2)</f>
        <v>21.1</v>
      </c>
      <c r="H219" s="679"/>
    </row>
    <row r="220" s="652" customFormat="1" ht="12" spans="1:8">
      <c r="A220" s="708" t="s">
        <v>377</v>
      </c>
      <c r="B220" s="676" t="s">
        <v>397</v>
      </c>
      <c r="C220" s="348" t="s">
        <v>379</v>
      </c>
      <c r="D220" s="676" t="s">
        <v>120</v>
      </c>
      <c r="E220" s="349">
        <f>'PB VI - Memorial'!G473</f>
        <v>13.45</v>
      </c>
      <c r="F220" s="688">
        <v>19.81</v>
      </c>
      <c r="G220" s="677">
        <f>ROUND(E220*F220,2)</f>
        <v>266.44</v>
      </c>
      <c r="H220" s="679"/>
    </row>
    <row r="221" s="652" customFormat="1" ht="12" spans="1:8">
      <c r="A221" s="696" t="s">
        <v>398</v>
      </c>
      <c r="B221" s="676" t="s">
        <v>399</v>
      </c>
      <c r="C221" s="696" t="s">
        <v>400</v>
      </c>
      <c r="D221" s="687" t="s">
        <v>21</v>
      </c>
      <c r="E221" s="695">
        <v>1</v>
      </c>
      <c r="F221" s="688">
        <v>76.9</v>
      </c>
      <c r="G221" s="677">
        <f>ROUND(E221*F221,2)</f>
        <v>76.9</v>
      </c>
      <c r="H221" s="679"/>
    </row>
    <row r="222" s="652" customFormat="1" ht="12" spans="1:8">
      <c r="A222" s="696"/>
      <c r="B222" s="687"/>
      <c r="C222" s="696"/>
      <c r="D222" s="687"/>
      <c r="E222" s="695"/>
      <c r="F222" s="697"/>
      <c r="G222" s="677"/>
      <c r="H222" s="679"/>
    </row>
    <row r="223" s="652" customFormat="1" ht="12" spans="1:8">
      <c r="A223" s="672"/>
      <c r="B223" s="666">
        <v>15</v>
      </c>
      <c r="C223" s="671" t="s">
        <v>401</v>
      </c>
      <c r="D223" s="672"/>
      <c r="E223" s="692"/>
      <c r="F223" s="692"/>
      <c r="G223" s="674">
        <f>SUM(G225:G251)</f>
        <v>3535.63</v>
      </c>
      <c r="H223" s="679"/>
    </row>
    <row r="224" s="652" customFormat="1" ht="12" spans="1:8">
      <c r="A224" s="675"/>
      <c r="B224" s="676" t="s">
        <v>303</v>
      </c>
      <c r="C224" s="760" t="s">
        <v>402</v>
      </c>
      <c r="D224" s="676"/>
      <c r="E224" s="349"/>
      <c r="F224" s="688"/>
      <c r="G224" s="677"/>
      <c r="H224" s="679"/>
    </row>
    <row r="225" s="652" customFormat="1" ht="12" spans="1:8">
      <c r="A225" s="708" t="s">
        <v>403</v>
      </c>
      <c r="B225" s="676" t="s">
        <v>404</v>
      </c>
      <c r="C225" s="348" t="s">
        <v>405</v>
      </c>
      <c r="D225" s="676" t="s">
        <v>120</v>
      </c>
      <c r="E225" s="349">
        <v>17.66</v>
      </c>
      <c r="F225" s="688">
        <v>12.93</v>
      </c>
      <c r="G225" s="677">
        <f>ROUND(E225*F225,2)</f>
        <v>228.34</v>
      </c>
      <c r="H225" s="679"/>
    </row>
    <row r="226" s="652" customFormat="1" ht="12" spans="1:8">
      <c r="A226" s="708" t="s">
        <v>406</v>
      </c>
      <c r="B226" s="676" t="s">
        <v>407</v>
      </c>
      <c r="C226" s="348" t="s">
        <v>408</v>
      </c>
      <c r="D226" s="676" t="s">
        <v>120</v>
      </c>
      <c r="E226" s="349">
        <v>3.6</v>
      </c>
      <c r="F226" s="688">
        <v>18.48</v>
      </c>
      <c r="G226" s="677">
        <f>ROUND(E226*F226,2)</f>
        <v>66.53</v>
      </c>
      <c r="H226" s="679"/>
    </row>
    <row r="227" s="652" customFormat="1" ht="12" spans="1:8">
      <c r="A227" s="708" t="s">
        <v>409</v>
      </c>
      <c r="B227" s="676" t="s">
        <v>410</v>
      </c>
      <c r="C227" s="348" t="s">
        <v>411</v>
      </c>
      <c r="D227" s="676" t="s">
        <v>120</v>
      </c>
      <c r="E227" s="349">
        <f>7.51+0.6</f>
        <v>8.11</v>
      </c>
      <c r="F227" s="688">
        <v>27.54</v>
      </c>
      <c r="G227" s="677">
        <f>ROUND(E227*F227,2)</f>
        <v>223.35</v>
      </c>
      <c r="H227" s="679"/>
    </row>
    <row r="228" s="652" customFormat="1" ht="12" spans="1:8">
      <c r="A228" s="708" t="s">
        <v>412</v>
      </c>
      <c r="B228" s="676" t="s">
        <v>413</v>
      </c>
      <c r="C228" s="348" t="s">
        <v>414</v>
      </c>
      <c r="D228" s="676" t="s">
        <v>120</v>
      </c>
      <c r="E228" s="349">
        <v>39.39</v>
      </c>
      <c r="F228" s="688">
        <v>35.76</v>
      </c>
      <c r="G228" s="677">
        <f>ROUND(E228*F228,2)</f>
        <v>1408.59</v>
      </c>
      <c r="H228" s="679"/>
    </row>
    <row r="229" s="652" customFormat="1" ht="12" spans="1:8">
      <c r="A229" s="675"/>
      <c r="B229" s="676"/>
      <c r="C229" s="675"/>
      <c r="D229" s="676"/>
      <c r="E229" s="349"/>
      <c r="F229" s="688"/>
      <c r="G229" s="677"/>
      <c r="H229" s="679"/>
    </row>
    <row r="230" s="652" customFormat="1" ht="21" spans="1:8">
      <c r="A230" s="675"/>
      <c r="B230" s="680" t="s">
        <v>327</v>
      </c>
      <c r="C230" s="350" t="s">
        <v>415</v>
      </c>
      <c r="D230" s="676"/>
      <c r="E230" s="349"/>
      <c r="F230" s="688"/>
      <c r="G230" s="677"/>
      <c r="H230" s="679"/>
    </row>
    <row r="231" s="652" customFormat="1" ht="12" spans="1:8">
      <c r="A231" s="708">
        <v>89707</v>
      </c>
      <c r="B231" s="676" t="s">
        <v>416</v>
      </c>
      <c r="C231" s="348" t="s">
        <v>417</v>
      </c>
      <c r="D231" s="676" t="s">
        <v>21</v>
      </c>
      <c r="E231" s="349">
        <v>7</v>
      </c>
      <c r="F231" s="688">
        <v>17.23</v>
      </c>
      <c r="G231" s="677">
        <f>ROUND(E231*F231,2)</f>
        <v>120.61</v>
      </c>
      <c r="H231" s="679"/>
    </row>
    <row r="232" s="652" customFormat="1" ht="12" spans="1:8">
      <c r="A232" s="708" t="s">
        <v>418</v>
      </c>
      <c r="B232" s="676" t="s">
        <v>419</v>
      </c>
      <c r="C232" s="348" t="s">
        <v>420</v>
      </c>
      <c r="D232" s="676" t="s">
        <v>21</v>
      </c>
      <c r="E232" s="349">
        <v>1</v>
      </c>
      <c r="F232" s="688">
        <v>150.08</v>
      </c>
      <c r="G232" s="677">
        <f t="shared" ref="G232:G233" si="20">ROUND(E232*F232,2)</f>
        <v>150.08</v>
      </c>
      <c r="H232" s="679"/>
    </row>
    <row r="233" s="652" customFormat="1" ht="12" spans="1:8">
      <c r="A233" s="708" t="s">
        <v>421</v>
      </c>
      <c r="B233" s="676" t="s">
        <v>422</v>
      </c>
      <c r="C233" s="348" t="s">
        <v>423</v>
      </c>
      <c r="D233" s="676" t="s">
        <v>21</v>
      </c>
      <c r="E233" s="349">
        <v>6</v>
      </c>
      <c r="F233" s="688">
        <v>130.35</v>
      </c>
      <c r="G233" s="677">
        <f t="shared" si="20"/>
        <v>782.1</v>
      </c>
      <c r="H233" s="679"/>
    </row>
    <row r="234" s="652" customFormat="1" ht="12" spans="1:8">
      <c r="A234" s="708"/>
      <c r="B234" s="676"/>
      <c r="C234" s="348"/>
      <c r="D234" s="676"/>
      <c r="E234" s="349"/>
      <c r="F234" s="688"/>
      <c r="G234" s="677"/>
      <c r="H234" s="679"/>
    </row>
    <row r="235" s="652" customFormat="1" ht="12" spans="1:8">
      <c r="A235" s="708"/>
      <c r="B235" s="680" t="s">
        <v>424</v>
      </c>
      <c r="C235" s="350" t="s">
        <v>425</v>
      </c>
      <c r="D235" s="676"/>
      <c r="E235" s="349"/>
      <c r="F235" s="688"/>
      <c r="G235" s="677"/>
      <c r="H235" s="679"/>
    </row>
    <row r="236" s="652" customFormat="1" ht="12" spans="1:8">
      <c r="A236" s="708" t="s">
        <v>426</v>
      </c>
      <c r="B236" s="676" t="s">
        <v>427</v>
      </c>
      <c r="C236" s="348" t="s">
        <v>428</v>
      </c>
      <c r="D236" s="676" t="s">
        <v>21</v>
      </c>
      <c r="E236" s="349">
        <v>2</v>
      </c>
      <c r="F236" s="688">
        <v>13.52</v>
      </c>
      <c r="G236" s="677">
        <v>27.04</v>
      </c>
      <c r="H236" s="679"/>
    </row>
    <row r="237" s="652" customFormat="1" ht="12" spans="1:8">
      <c r="A237" s="708" t="s">
        <v>429</v>
      </c>
      <c r="B237" s="676" t="s">
        <v>430</v>
      </c>
      <c r="C237" s="348" t="s">
        <v>431</v>
      </c>
      <c r="D237" s="676" t="s">
        <v>21</v>
      </c>
      <c r="E237" s="349">
        <v>1</v>
      </c>
      <c r="F237" s="688">
        <v>11.62</v>
      </c>
      <c r="G237" s="677">
        <f t="shared" ref="G237:G244" si="21">ROUND(E237*F237,2)</f>
        <v>11.62</v>
      </c>
      <c r="H237" s="679"/>
    </row>
    <row r="238" s="652" customFormat="1" ht="12" spans="1:8">
      <c r="A238" s="708" t="s">
        <v>432</v>
      </c>
      <c r="B238" s="676" t="s">
        <v>433</v>
      </c>
      <c r="C238" s="348" t="s">
        <v>434</v>
      </c>
      <c r="D238" s="676" t="s">
        <v>21</v>
      </c>
      <c r="E238" s="349">
        <v>4</v>
      </c>
      <c r="F238" s="688">
        <v>9.56</v>
      </c>
      <c r="G238" s="677">
        <f t="shared" si="21"/>
        <v>38.24</v>
      </c>
      <c r="H238" s="679"/>
    </row>
    <row r="239" s="652" customFormat="1" ht="12" spans="1:8">
      <c r="A239" s="708" t="s">
        <v>435</v>
      </c>
      <c r="B239" s="676" t="s">
        <v>436</v>
      </c>
      <c r="C239" s="348" t="s">
        <v>437</v>
      </c>
      <c r="D239" s="676" t="s">
        <v>21</v>
      </c>
      <c r="E239" s="349">
        <v>2</v>
      </c>
      <c r="F239" s="688">
        <v>3.3</v>
      </c>
      <c r="G239" s="677">
        <f t="shared" si="21"/>
        <v>6.6</v>
      </c>
      <c r="H239" s="679"/>
    </row>
    <row r="240" s="652" customFormat="1" ht="12" spans="1:8">
      <c r="A240" s="708" t="s">
        <v>438</v>
      </c>
      <c r="B240" s="676" t="s">
        <v>439</v>
      </c>
      <c r="C240" s="348" t="s">
        <v>440</v>
      </c>
      <c r="D240" s="676" t="s">
        <v>21</v>
      </c>
      <c r="E240" s="349">
        <v>1</v>
      </c>
      <c r="F240" s="688">
        <v>7.23</v>
      </c>
      <c r="G240" s="677">
        <f t="shared" si="21"/>
        <v>7.23</v>
      </c>
      <c r="H240" s="679"/>
    </row>
    <row r="241" s="652" customFormat="1" ht="12" spans="1:8">
      <c r="A241" s="708" t="s">
        <v>441</v>
      </c>
      <c r="B241" s="676" t="s">
        <v>442</v>
      </c>
      <c r="C241" s="348" t="s">
        <v>443</v>
      </c>
      <c r="D241" s="676" t="s">
        <v>21</v>
      </c>
      <c r="E241" s="349">
        <v>2</v>
      </c>
      <c r="F241" s="688">
        <v>28.56</v>
      </c>
      <c r="G241" s="677">
        <f t="shared" si="21"/>
        <v>57.12</v>
      </c>
      <c r="H241" s="679"/>
    </row>
    <row r="242" s="652" customFormat="1" ht="12" spans="1:8">
      <c r="A242" s="708" t="s">
        <v>444</v>
      </c>
      <c r="B242" s="676" t="s">
        <v>445</v>
      </c>
      <c r="C242" s="348" t="s">
        <v>446</v>
      </c>
      <c r="D242" s="676" t="s">
        <v>21</v>
      </c>
      <c r="E242" s="349">
        <v>9</v>
      </c>
      <c r="F242" s="688">
        <v>1.13</v>
      </c>
      <c r="G242" s="677">
        <f t="shared" si="21"/>
        <v>10.17</v>
      </c>
      <c r="H242" s="679"/>
    </row>
    <row r="243" s="652" customFormat="1" ht="12" spans="1:8">
      <c r="A243" s="708" t="s">
        <v>447</v>
      </c>
      <c r="B243" s="676" t="s">
        <v>448</v>
      </c>
      <c r="C243" s="348" t="s">
        <v>449</v>
      </c>
      <c r="D243" s="676" t="s">
        <v>21</v>
      </c>
      <c r="E243" s="349">
        <v>2</v>
      </c>
      <c r="F243" s="688">
        <v>3.91</v>
      </c>
      <c r="G243" s="677">
        <f t="shared" si="21"/>
        <v>7.82</v>
      </c>
      <c r="H243" s="679"/>
    </row>
    <row r="244" s="652" customFormat="1" ht="12" spans="1:8">
      <c r="A244" s="708" t="s">
        <v>450</v>
      </c>
      <c r="B244" s="676" t="s">
        <v>451</v>
      </c>
      <c r="C244" s="348" t="s">
        <v>452</v>
      </c>
      <c r="D244" s="676" t="s">
        <v>21</v>
      </c>
      <c r="E244" s="349">
        <v>5</v>
      </c>
      <c r="F244" s="688">
        <v>5.14</v>
      </c>
      <c r="G244" s="677">
        <f t="shared" si="21"/>
        <v>25.7</v>
      </c>
      <c r="H244" s="679"/>
    </row>
    <row r="245" s="652" customFormat="1" ht="12" spans="1:8">
      <c r="A245" s="708"/>
      <c r="B245" s="676"/>
      <c r="C245" s="348"/>
      <c r="D245" s="676"/>
      <c r="E245" s="349"/>
      <c r="F245" s="688"/>
      <c r="G245" s="677"/>
      <c r="H245" s="679"/>
    </row>
    <row r="246" s="652" customFormat="1" ht="12" spans="1:8">
      <c r="A246" s="708"/>
      <c r="B246" s="680" t="s">
        <v>453</v>
      </c>
      <c r="C246" s="350" t="s">
        <v>454</v>
      </c>
      <c r="D246" s="676"/>
      <c r="E246" s="349"/>
      <c r="F246" s="688"/>
      <c r="G246" s="677"/>
      <c r="H246" s="679"/>
    </row>
    <row r="247" s="652" customFormat="1" ht="12" spans="1:8">
      <c r="A247" s="708" t="s">
        <v>406</v>
      </c>
      <c r="B247" s="676" t="s">
        <v>455</v>
      </c>
      <c r="C247" s="348" t="s">
        <v>408</v>
      </c>
      <c r="D247" s="676" t="s">
        <v>120</v>
      </c>
      <c r="E247" s="349">
        <v>3.6</v>
      </c>
      <c r="F247" s="688">
        <v>18.48</v>
      </c>
      <c r="G247" s="677">
        <f>ROUND(E247*F247,2)</f>
        <v>66.53</v>
      </c>
      <c r="H247" s="679"/>
    </row>
    <row r="248" s="652" customFormat="1" ht="12" spans="1:8">
      <c r="A248" s="708" t="s">
        <v>409</v>
      </c>
      <c r="B248" s="676" t="s">
        <v>456</v>
      </c>
      <c r="C248" s="348" t="s">
        <v>411</v>
      </c>
      <c r="D248" s="676" t="s">
        <v>120</v>
      </c>
      <c r="E248" s="349">
        <f>7.51+0.6</f>
        <v>8.11</v>
      </c>
      <c r="F248" s="688">
        <v>27.54</v>
      </c>
      <c r="G248" s="677">
        <f>ROUND(E248*F248,2)</f>
        <v>223.35</v>
      </c>
      <c r="H248" s="679"/>
    </row>
    <row r="249" s="652" customFormat="1" ht="12" spans="1:8">
      <c r="A249" s="708" t="s">
        <v>457</v>
      </c>
      <c r="B249" s="676" t="s">
        <v>458</v>
      </c>
      <c r="C249" s="348" t="s">
        <v>459</v>
      </c>
      <c r="D249" s="676" t="s">
        <v>21</v>
      </c>
      <c r="E249" s="349">
        <v>6</v>
      </c>
      <c r="F249" s="688">
        <v>1.54</v>
      </c>
      <c r="G249" s="677">
        <f t="shared" ref="G249:G251" si="22">ROUND(E249*F249,2)</f>
        <v>9.24</v>
      </c>
      <c r="H249" s="679"/>
    </row>
    <row r="250" s="652" customFormat="1" ht="12" spans="1:8">
      <c r="A250" s="708" t="s">
        <v>460</v>
      </c>
      <c r="B250" s="676" t="s">
        <v>461</v>
      </c>
      <c r="C250" s="348" t="s">
        <v>462</v>
      </c>
      <c r="D250" s="676" t="s">
        <v>21</v>
      </c>
      <c r="E250" s="349">
        <v>7</v>
      </c>
      <c r="F250" s="688">
        <v>8.72</v>
      </c>
      <c r="G250" s="677">
        <f t="shared" si="22"/>
        <v>61.04</v>
      </c>
      <c r="H250" s="679"/>
    </row>
    <row r="251" s="652" customFormat="1" ht="12" spans="1:8">
      <c r="A251" s="676">
        <v>7097</v>
      </c>
      <c r="B251" s="676" t="s">
        <v>463</v>
      </c>
      <c r="C251" s="675" t="s">
        <v>464</v>
      </c>
      <c r="D251" s="676" t="s">
        <v>21</v>
      </c>
      <c r="E251" s="349">
        <v>1</v>
      </c>
      <c r="F251" s="688">
        <v>4.33</v>
      </c>
      <c r="G251" s="677">
        <f t="shared" si="22"/>
        <v>4.33</v>
      </c>
      <c r="H251" s="679"/>
    </row>
    <row r="252" s="652" customFormat="1" ht="12" spans="1:8">
      <c r="A252" s="696"/>
      <c r="B252" s="687"/>
      <c r="C252" s="696"/>
      <c r="D252" s="687"/>
      <c r="E252" s="695"/>
      <c r="F252" s="697"/>
      <c r="G252" s="694"/>
      <c r="H252" s="679"/>
    </row>
    <row r="253" s="652" customFormat="1" ht="12" spans="1:8">
      <c r="A253" s="672"/>
      <c r="B253" s="666">
        <v>16</v>
      </c>
      <c r="C253" s="671" t="s">
        <v>465</v>
      </c>
      <c r="D253" s="672"/>
      <c r="E253" s="692"/>
      <c r="F253" s="692"/>
      <c r="G253" s="674">
        <f>SUM(G254:G263)</f>
        <v>7240.6</v>
      </c>
      <c r="H253" s="679"/>
    </row>
    <row r="254" s="652" customFormat="1" ht="12" spans="1:8">
      <c r="A254" s="708" t="s">
        <v>466</v>
      </c>
      <c r="B254" s="676" t="s">
        <v>467</v>
      </c>
      <c r="C254" s="675" t="s">
        <v>468</v>
      </c>
      <c r="D254" s="676" t="s">
        <v>21</v>
      </c>
      <c r="E254" s="349">
        <f>'PB VI - Memorial'!G498</f>
        <v>6</v>
      </c>
      <c r="F254" s="688">
        <v>306.3</v>
      </c>
      <c r="G254" s="677">
        <f t="shared" ref="G254:G263" si="23">ROUND(E254*F254,2)</f>
        <v>1837.8</v>
      </c>
      <c r="H254" s="679"/>
    </row>
    <row r="255" s="652" customFormat="1" ht="12" spans="1:8">
      <c r="A255" s="708" t="s">
        <v>469</v>
      </c>
      <c r="B255" s="676" t="s">
        <v>470</v>
      </c>
      <c r="C255" s="696" t="s">
        <v>471</v>
      </c>
      <c r="D255" s="687" t="s">
        <v>21</v>
      </c>
      <c r="E255" s="349">
        <f>'PB VI - Memorial'!G502</f>
        <v>1</v>
      </c>
      <c r="F255" s="688">
        <v>377.85</v>
      </c>
      <c r="G255" s="694">
        <f t="shared" si="23"/>
        <v>377.85</v>
      </c>
      <c r="H255" s="679"/>
    </row>
    <row r="256" s="652" customFormat="1" ht="12" spans="1:8">
      <c r="A256" s="687">
        <v>86941</v>
      </c>
      <c r="B256" s="676" t="s">
        <v>472</v>
      </c>
      <c r="C256" s="696" t="s">
        <v>473</v>
      </c>
      <c r="D256" s="687" t="s">
        <v>21</v>
      </c>
      <c r="E256" s="349">
        <f>'PB VI - Memorial'!G495</f>
        <v>5</v>
      </c>
      <c r="F256" s="688">
        <v>440.73</v>
      </c>
      <c r="G256" s="694">
        <f t="shared" si="23"/>
        <v>2203.65</v>
      </c>
      <c r="H256" s="679"/>
    </row>
    <row r="257" s="652" customFormat="1" ht="56.25" spans="1:8">
      <c r="A257" s="687" t="s">
        <v>474</v>
      </c>
      <c r="B257" s="676" t="s">
        <v>475</v>
      </c>
      <c r="C257" s="675" t="s">
        <v>476</v>
      </c>
      <c r="D257" s="687" t="s">
        <v>21</v>
      </c>
      <c r="E257" s="349">
        <f>'PB VI - Memorial'!G496</f>
        <v>1</v>
      </c>
      <c r="F257" s="678">
        <f>'PB VIII - Composições Auxilia'!F86</f>
        <v>809.4</v>
      </c>
      <c r="G257" s="694">
        <f t="shared" si="23"/>
        <v>809.4</v>
      </c>
      <c r="H257" s="679"/>
    </row>
    <row r="258" s="652" customFormat="1" ht="33.75" spans="1:8">
      <c r="A258" s="687" t="s">
        <v>477</v>
      </c>
      <c r="B258" s="676" t="s">
        <v>478</v>
      </c>
      <c r="C258" s="675" t="s">
        <v>479</v>
      </c>
      <c r="D258" s="687" t="s">
        <v>21</v>
      </c>
      <c r="E258" s="349">
        <f>'PB VI - Memorial'!G499</f>
        <v>1</v>
      </c>
      <c r="F258" s="678">
        <f>'PB VIII - Composições Auxilia'!F99</f>
        <v>742.05</v>
      </c>
      <c r="G258" s="694">
        <f t="shared" si="23"/>
        <v>742.05</v>
      </c>
      <c r="H258" s="679"/>
    </row>
    <row r="259" s="652" customFormat="1" ht="12" spans="1:8">
      <c r="A259" s="687">
        <v>95544</v>
      </c>
      <c r="B259" s="676" t="s">
        <v>480</v>
      </c>
      <c r="C259" s="348" t="s">
        <v>481</v>
      </c>
      <c r="D259" s="687" t="s">
        <v>21</v>
      </c>
      <c r="E259" s="349">
        <f>'PB VI - Memorial'!G508</f>
        <v>13</v>
      </c>
      <c r="F259" s="688">
        <v>21.72</v>
      </c>
      <c r="G259" s="694">
        <f t="shared" si="23"/>
        <v>282.36</v>
      </c>
      <c r="H259" s="679"/>
    </row>
    <row r="260" s="652" customFormat="1" ht="33.75" spans="1:8">
      <c r="A260" s="687">
        <v>11758</v>
      </c>
      <c r="B260" s="676" t="s">
        <v>482</v>
      </c>
      <c r="C260" s="348" t="s">
        <v>483</v>
      </c>
      <c r="D260" s="687" t="s">
        <v>21</v>
      </c>
      <c r="E260" s="349">
        <f>'PB VI - Memorial'!G505</f>
        <v>6</v>
      </c>
      <c r="F260" s="688">
        <v>34.89</v>
      </c>
      <c r="G260" s="694">
        <f t="shared" si="23"/>
        <v>209.34</v>
      </c>
      <c r="H260" s="679"/>
    </row>
    <row r="261" s="652" customFormat="1" ht="22.5" spans="1:8">
      <c r="A261" s="687">
        <v>85005</v>
      </c>
      <c r="B261" s="676" t="s">
        <v>484</v>
      </c>
      <c r="C261" s="348" t="s">
        <v>485</v>
      </c>
      <c r="D261" s="687" t="s">
        <v>17</v>
      </c>
      <c r="E261" s="349">
        <f>0.5*0.5*3</f>
        <v>0.75</v>
      </c>
      <c r="F261" s="688">
        <v>238.56</v>
      </c>
      <c r="G261" s="694">
        <f t="shared" si="23"/>
        <v>178.92</v>
      </c>
      <c r="H261" s="679"/>
    </row>
    <row r="262" s="652" customFormat="1" ht="22.5" spans="1:8">
      <c r="A262" s="687">
        <v>86889</v>
      </c>
      <c r="B262" s="676" t="s">
        <v>486</v>
      </c>
      <c r="C262" s="348" t="s">
        <v>487</v>
      </c>
      <c r="D262" s="687" t="s">
        <v>21</v>
      </c>
      <c r="E262" s="349">
        <v>1</v>
      </c>
      <c r="F262" s="688">
        <v>535.94</v>
      </c>
      <c r="G262" s="694">
        <f t="shared" si="23"/>
        <v>535.94</v>
      </c>
      <c r="H262" s="679"/>
    </row>
    <row r="263" s="652" customFormat="1" ht="22.5" spans="1:8">
      <c r="A263" s="687">
        <v>86910</v>
      </c>
      <c r="B263" s="676" t="s">
        <v>488</v>
      </c>
      <c r="C263" s="348" t="s">
        <v>489</v>
      </c>
      <c r="D263" s="687" t="s">
        <v>21</v>
      </c>
      <c r="E263" s="349">
        <v>1</v>
      </c>
      <c r="F263" s="688">
        <v>63.29</v>
      </c>
      <c r="G263" s="694">
        <f t="shared" si="23"/>
        <v>63.29</v>
      </c>
      <c r="H263" s="679"/>
    </row>
    <row r="264" s="652" customFormat="1" ht="12" spans="1:8">
      <c r="A264" s="687"/>
      <c r="B264" s="687"/>
      <c r="C264" s="348"/>
      <c r="D264" s="687"/>
      <c r="E264" s="349"/>
      <c r="F264" s="688"/>
      <c r="G264" s="694"/>
      <c r="H264" s="679"/>
    </row>
    <row r="265" s="652" customFormat="1" ht="12" spans="1:8">
      <c r="A265" s="672"/>
      <c r="B265" s="666">
        <v>17</v>
      </c>
      <c r="C265" s="671" t="s">
        <v>490</v>
      </c>
      <c r="D265" s="672"/>
      <c r="E265" s="692"/>
      <c r="F265" s="692"/>
      <c r="G265" s="674">
        <f>SUM(G267:G281)</f>
        <v>13079.82</v>
      </c>
      <c r="H265" s="679"/>
    </row>
    <row r="266" s="652" customFormat="1" ht="12" spans="1:8">
      <c r="A266" s="675"/>
      <c r="B266" s="680" t="s">
        <v>303</v>
      </c>
      <c r="C266" s="350" t="s">
        <v>491</v>
      </c>
      <c r="D266" s="676"/>
      <c r="E266" s="349"/>
      <c r="F266" s="688"/>
      <c r="G266" s="677"/>
      <c r="H266" s="679"/>
    </row>
    <row r="267" s="652" customFormat="1" ht="12" spans="1:8">
      <c r="A267" s="708" t="s">
        <v>492</v>
      </c>
      <c r="B267" s="676" t="s">
        <v>493</v>
      </c>
      <c r="C267" s="348" t="s">
        <v>494</v>
      </c>
      <c r="D267" s="676" t="s">
        <v>120</v>
      </c>
      <c r="E267" s="349">
        <f>'PB VI - Memorial'!G513</f>
        <v>49.7</v>
      </c>
      <c r="F267" s="349">
        <v>41.46</v>
      </c>
      <c r="G267" s="677">
        <f>ROUND(E267*F267,2)</f>
        <v>2060.56</v>
      </c>
      <c r="H267" s="679"/>
    </row>
    <row r="268" s="652" customFormat="1" ht="12" spans="1:8">
      <c r="A268" s="676">
        <v>9850</v>
      </c>
      <c r="B268" s="676" t="s">
        <v>495</v>
      </c>
      <c r="C268" s="348" t="s">
        <v>496</v>
      </c>
      <c r="D268" s="676" t="s">
        <v>120</v>
      </c>
      <c r="E268" s="349">
        <f>'PB VI - Memorial'!G514</f>
        <v>22.04</v>
      </c>
      <c r="F268" s="349">
        <v>90</v>
      </c>
      <c r="G268" s="677">
        <f>ROUND(E268*F268,2)</f>
        <v>1983.6</v>
      </c>
      <c r="H268" s="679"/>
    </row>
    <row r="269" s="652" customFormat="1" ht="12" spans="1:8">
      <c r="A269" s="676">
        <v>9853</v>
      </c>
      <c r="B269" s="676" t="s">
        <v>497</v>
      </c>
      <c r="C269" s="348" t="s">
        <v>498</v>
      </c>
      <c r="D269" s="676" t="s">
        <v>120</v>
      </c>
      <c r="E269" s="349">
        <f>'PB VI - Memorial'!G515</f>
        <v>2.36</v>
      </c>
      <c r="F269" s="349">
        <v>160.04</v>
      </c>
      <c r="G269" s="677">
        <f>ROUND(E269*F269,2)</f>
        <v>377.69</v>
      </c>
      <c r="H269" s="679"/>
    </row>
    <row r="270" s="652" customFormat="1" ht="12" spans="1:8">
      <c r="A270" s="676">
        <v>366</v>
      </c>
      <c r="B270" s="676" t="s">
        <v>499</v>
      </c>
      <c r="C270" s="348" t="s">
        <v>500</v>
      </c>
      <c r="D270" s="676" t="s">
        <v>56</v>
      </c>
      <c r="E270" s="349">
        <f>'PB VI - Memorial'!G517</f>
        <v>0.49</v>
      </c>
      <c r="F270" s="349">
        <v>37.17</v>
      </c>
      <c r="G270" s="677">
        <f t="shared" ref="G270:G276" si="24">ROUND(E270*F270,2)</f>
        <v>18.21</v>
      </c>
      <c r="H270" s="679"/>
    </row>
    <row r="271" s="652" customFormat="1" ht="12" spans="1:8">
      <c r="A271" s="676">
        <v>89168</v>
      </c>
      <c r="B271" s="676" t="s">
        <v>501</v>
      </c>
      <c r="C271" s="348" t="s">
        <v>73</v>
      </c>
      <c r="D271" s="676" t="s">
        <v>502</v>
      </c>
      <c r="E271" s="349">
        <f>'PB VI - Memorial'!D518</f>
        <v>12.62</v>
      </c>
      <c r="F271" s="349">
        <v>58.27</v>
      </c>
      <c r="G271" s="677">
        <f t="shared" si="24"/>
        <v>735.37</v>
      </c>
      <c r="H271" s="679"/>
    </row>
    <row r="272" s="652" customFormat="1" ht="12" spans="1:8">
      <c r="A272" s="676">
        <v>87905</v>
      </c>
      <c r="B272" s="676" t="s">
        <v>503</v>
      </c>
      <c r="C272" s="348" t="s">
        <v>504</v>
      </c>
      <c r="D272" s="676" t="s">
        <v>502</v>
      </c>
      <c r="E272" s="349">
        <f>'PB VI - Memorial'!D519</f>
        <v>25.24</v>
      </c>
      <c r="F272" s="349">
        <v>6.31</v>
      </c>
      <c r="G272" s="677">
        <f t="shared" si="24"/>
        <v>159.26</v>
      </c>
      <c r="H272" s="679"/>
    </row>
    <row r="273" s="652" customFormat="1" ht="22.5" spans="1:8">
      <c r="A273" s="676" t="s">
        <v>505</v>
      </c>
      <c r="B273" s="676" t="s">
        <v>506</v>
      </c>
      <c r="C273" s="348" t="s">
        <v>507</v>
      </c>
      <c r="D273" s="676" t="s">
        <v>120</v>
      </c>
      <c r="E273" s="349">
        <f>'PB VI - Memorial'!G521</f>
        <v>42.425</v>
      </c>
      <c r="F273" s="349">
        <f>'PB VIII - Composições Auxilia'!F112</f>
        <v>91.86</v>
      </c>
      <c r="G273" s="677">
        <f t="shared" si="24"/>
        <v>3897.16</v>
      </c>
      <c r="H273" s="679"/>
    </row>
    <row r="274" s="652" customFormat="1" ht="22.5" spans="1:8">
      <c r="A274" s="676">
        <v>94230</v>
      </c>
      <c r="B274" s="676" t="s">
        <v>508</v>
      </c>
      <c r="C274" s="348" t="s">
        <v>509</v>
      </c>
      <c r="D274" s="676" t="s">
        <v>120</v>
      </c>
      <c r="E274" s="349">
        <f>'PB VI - Memorial'!G522</f>
        <v>5.125</v>
      </c>
      <c r="F274" s="349">
        <v>63.49</v>
      </c>
      <c r="G274" s="677">
        <f t="shared" si="24"/>
        <v>325.39</v>
      </c>
      <c r="H274" s="679"/>
    </row>
    <row r="275" s="652" customFormat="1" ht="12" spans="1:8">
      <c r="A275" s="676">
        <v>11708</v>
      </c>
      <c r="B275" s="676" t="s">
        <v>510</v>
      </c>
      <c r="C275" s="348" t="s">
        <v>511</v>
      </c>
      <c r="D275" s="676" t="s">
        <v>21</v>
      </c>
      <c r="E275" s="349">
        <f>'PB VI - Memorial'!D523</f>
        <v>4</v>
      </c>
      <c r="F275" s="349">
        <v>13</v>
      </c>
      <c r="G275" s="677">
        <f t="shared" si="24"/>
        <v>52</v>
      </c>
      <c r="H275" s="679"/>
    </row>
    <row r="276" s="652" customFormat="1" ht="22.5" spans="1:8">
      <c r="A276" s="676" t="s">
        <v>512</v>
      </c>
      <c r="B276" s="676" t="s">
        <v>513</v>
      </c>
      <c r="C276" s="348" t="s">
        <v>514</v>
      </c>
      <c r="D276" s="676" t="s">
        <v>21</v>
      </c>
      <c r="E276" s="349">
        <v>6</v>
      </c>
      <c r="F276" s="678">
        <f>'PB VIII - Composições Auxilia'!F121</f>
        <v>410.97</v>
      </c>
      <c r="G276" s="677">
        <f t="shared" si="24"/>
        <v>2465.82</v>
      </c>
      <c r="H276" s="679"/>
    </row>
    <row r="277" s="652" customFormat="1" ht="12" spans="1:8">
      <c r="A277" s="676"/>
      <c r="B277" s="676"/>
      <c r="C277" s="348"/>
      <c r="D277" s="676"/>
      <c r="E277" s="349"/>
      <c r="F277" s="678"/>
      <c r="G277" s="677"/>
      <c r="H277" s="679"/>
    </row>
    <row r="278" s="652" customFormat="1" ht="12" spans="1:8">
      <c r="A278" s="676"/>
      <c r="B278" s="680" t="s">
        <v>424</v>
      </c>
      <c r="C278" s="350" t="s">
        <v>515</v>
      </c>
      <c r="D278" s="676"/>
      <c r="E278" s="349"/>
      <c r="F278" s="678"/>
      <c r="G278" s="677"/>
      <c r="H278" s="679"/>
    </row>
    <row r="279" s="652" customFormat="1" ht="12" spans="1:8">
      <c r="A279" s="676">
        <v>89865</v>
      </c>
      <c r="B279" s="676" t="s">
        <v>516</v>
      </c>
      <c r="C279" s="348" t="s">
        <v>517</v>
      </c>
      <c r="D279" s="676" t="s">
        <v>120</v>
      </c>
      <c r="E279" s="349">
        <f>'PB VI - Memorial'!G526</f>
        <v>36</v>
      </c>
      <c r="F279" s="349">
        <v>8.67</v>
      </c>
      <c r="G279" s="677">
        <f>ROUND(E279*F279,2)</f>
        <v>312.12</v>
      </c>
      <c r="H279" s="679"/>
    </row>
    <row r="280" s="652" customFormat="1" ht="12" spans="1:8">
      <c r="A280" s="676">
        <v>90443</v>
      </c>
      <c r="B280" s="676" t="s">
        <v>518</v>
      </c>
      <c r="C280" s="675" t="s">
        <v>519</v>
      </c>
      <c r="D280" s="676" t="s">
        <v>120</v>
      </c>
      <c r="E280" s="349">
        <f>E279</f>
        <v>36</v>
      </c>
      <c r="F280" s="349">
        <v>9.58</v>
      </c>
      <c r="G280" s="677">
        <f t="shared" ref="G280:G281" si="25">ROUND(E280*F280,2)</f>
        <v>344.88</v>
      </c>
      <c r="H280" s="679"/>
    </row>
    <row r="281" s="652" customFormat="1" ht="12" spans="1:8">
      <c r="A281" s="676">
        <v>90466</v>
      </c>
      <c r="B281" s="676" t="s">
        <v>520</v>
      </c>
      <c r="C281" s="675" t="s">
        <v>521</v>
      </c>
      <c r="D281" s="676" t="s">
        <v>120</v>
      </c>
      <c r="E281" s="349">
        <f>E280</f>
        <v>36</v>
      </c>
      <c r="F281" s="349">
        <v>9.66</v>
      </c>
      <c r="G281" s="677">
        <f t="shared" si="25"/>
        <v>347.76</v>
      </c>
      <c r="H281" s="679"/>
    </row>
    <row r="282" s="652" customFormat="1" ht="12" spans="1:8">
      <c r="A282" s="676"/>
      <c r="B282" s="676"/>
      <c r="C282" s="675"/>
      <c r="D282" s="676"/>
      <c r="E282" s="349"/>
      <c r="F282" s="349"/>
      <c r="G282" s="677"/>
      <c r="H282" s="679"/>
    </row>
    <row r="283" s="652" customFormat="1" ht="12" spans="1:8">
      <c r="A283" s="672"/>
      <c r="B283" s="666">
        <v>18</v>
      </c>
      <c r="C283" s="671" t="s">
        <v>522</v>
      </c>
      <c r="D283" s="672"/>
      <c r="E283" s="692"/>
      <c r="F283" s="692"/>
      <c r="G283" s="674">
        <f>SUM(G284:G290)</f>
        <v>2288.17</v>
      </c>
      <c r="H283" s="679"/>
    </row>
    <row r="284" s="652" customFormat="1" ht="12" spans="1:8">
      <c r="A284" s="676">
        <v>37539</v>
      </c>
      <c r="B284" s="676" t="s">
        <v>523</v>
      </c>
      <c r="C284" s="348" t="s">
        <v>524</v>
      </c>
      <c r="D284" s="676" t="s">
        <v>21</v>
      </c>
      <c r="E284" s="349">
        <f>'PB VI - Memorial'!G530</f>
        <v>15</v>
      </c>
      <c r="F284" s="349">
        <v>20</v>
      </c>
      <c r="G284" s="677">
        <f t="shared" ref="G284:G290" si="26">ROUND(E284*F284,2)</f>
        <v>300</v>
      </c>
      <c r="H284" s="679"/>
    </row>
    <row r="285" s="652" customFormat="1" ht="12" spans="1:8">
      <c r="A285" s="676">
        <v>37539</v>
      </c>
      <c r="B285" s="676" t="s">
        <v>525</v>
      </c>
      <c r="C285" s="348" t="s">
        <v>526</v>
      </c>
      <c r="D285" s="676" t="s">
        <v>21</v>
      </c>
      <c r="E285" s="349">
        <f>'PB VI - Memorial'!G531</f>
        <v>6</v>
      </c>
      <c r="F285" s="349">
        <v>20</v>
      </c>
      <c r="G285" s="677">
        <f t="shared" si="26"/>
        <v>120</v>
      </c>
      <c r="H285" s="679"/>
    </row>
    <row r="286" s="652" customFormat="1" ht="12" spans="1:8">
      <c r="A286" s="676">
        <v>37539</v>
      </c>
      <c r="B286" s="676" t="s">
        <v>527</v>
      </c>
      <c r="C286" s="348" t="s">
        <v>528</v>
      </c>
      <c r="D286" s="676" t="s">
        <v>21</v>
      </c>
      <c r="E286" s="349">
        <f>'PB VI - Memorial'!G532</f>
        <v>7</v>
      </c>
      <c r="F286" s="349">
        <v>20</v>
      </c>
      <c r="G286" s="677">
        <f t="shared" si="26"/>
        <v>140</v>
      </c>
      <c r="H286" s="679"/>
    </row>
    <row r="287" s="652" customFormat="1" ht="22.5" spans="1:8">
      <c r="A287" s="676">
        <v>84665</v>
      </c>
      <c r="B287" s="676" t="s">
        <v>529</v>
      </c>
      <c r="C287" s="348" t="s">
        <v>530</v>
      </c>
      <c r="D287" s="676" t="s">
        <v>17</v>
      </c>
      <c r="E287" s="349">
        <f>'PB VI - Memorial'!G533</f>
        <v>3</v>
      </c>
      <c r="F287" s="349">
        <v>16.36</v>
      </c>
      <c r="G287" s="677">
        <f t="shared" si="26"/>
        <v>49.08</v>
      </c>
      <c r="H287" s="679"/>
    </row>
    <row r="288" s="652" customFormat="1" ht="22.5" spans="1:8">
      <c r="A288" s="676" t="s">
        <v>531</v>
      </c>
      <c r="B288" s="676" t="s">
        <v>532</v>
      </c>
      <c r="C288" s="348" t="s">
        <v>533</v>
      </c>
      <c r="D288" s="676" t="s">
        <v>21</v>
      </c>
      <c r="E288" s="349">
        <f>'PB VI - Memorial'!G534</f>
        <v>3</v>
      </c>
      <c r="F288" s="349">
        <v>11.95</v>
      </c>
      <c r="G288" s="677">
        <f t="shared" si="26"/>
        <v>35.85</v>
      </c>
      <c r="H288" s="679"/>
    </row>
    <row r="289" s="652" customFormat="1" ht="22.5" spans="1:8">
      <c r="A289" s="676" t="s">
        <v>534</v>
      </c>
      <c r="B289" s="676" t="s">
        <v>535</v>
      </c>
      <c r="C289" s="348" t="s">
        <v>536</v>
      </c>
      <c r="D289" s="676" t="s">
        <v>21</v>
      </c>
      <c r="E289" s="349">
        <f>'PB VI - Memorial'!G535</f>
        <v>6</v>
      </c>
      <c r="F289" s="349">
        <v>216.09</v>
      </c>
      <c r="G289" s="677">
        <f t="shared" si="26"/>
        <v>1296.54</v>
      </c>
      <c r="H289" s="679"/>
    </row>
    <row r="290" s="652" customFormat="1" ht="22.5" spans="1:8">
      <c r="A290" s="676" t="s">
        <v>537</v>
      </c>
      <c r="B290" s="676" t="s">
        <v>538</v>
      </c>
      <c r="C290" s="348" t="s">
        <v>539</v>
      </c>
      <c r="D290" s="676" t="s">
        <v>21</v>
      </c>
      <c r="E290" s="349">
        <f>'PB VI - Memorial'!G536</f>
        <v>10</v>
      </c>
      <c r="F290" s="349">
        <f>'PB VIII - Composições Auxilia'!F129</f>
        <v>34.67</v>
      </c>
      <c r="G290" s="677">
        <f t="shared" si="26"/>
        <v>346.7</v>
      </c>
      <c r="H290" s="679"/>
    </row>
    <row r="291" s="652" customFormat="1" ht="12" spans="1:8">
      <c r="A291" s="676"/>
      <c r="B291" s="687"/>
      <c r="C291" s="348"/>
      <c r="D291" s="687"/>
      <c r="E291" s="695"/>
      <c r="F291" s="697"/>
      <c r="G291" s="694"/>
      <c r="H291" s="679"/>
    </row>
    <row r="292" s="652" customFormat="1" ht="12" spans="1:8">
      <c r="A292" s="672"/>
      <c r="B292" s="666">
        <v>19</v>
      </c>
      <c r="C292" s="671" t="s">
        <v>540</v>
      </c>
      <c r="D292" s="672"/>
      <c r="E292" s="692"/>
      <c r="F292" s="692"/>
      <c r="G292" s="674">
        <f>SUM(G294:G352)</f>
        <v>50482.21</v>
      </c>
      <c r="H292" s="679"/>
    </row>
    <row r="293" s="652" customFormat="1" ht="12" spans="1:8">
      <c r="A293" s="696"/>
      <c r="B293" s="758" t="s">
        <v>303</v>
      </c>
      <c r="C293" s="759" t="s">
        <v>541</v>
      </c>
      <c r="D293" s="687"/>
      <c r="E293" s="695"/>
      <c r="F293" s="697"/>
      <c r="G293" s="694"/>
      <c r="H293" s="679"/>
    </row>
    <row r="294" s="652" customFormat="1" ht="22.5" spans="1:8">
      <c r="A294" s="687" t="str">
        <f>'PB VIII - Composições Auxilia'!A131</f>
        <v>COMP. 15 - DPE</v>
      </c>
      <c r="B294" s="676" t="s">
        <v>542</v>
      </c>
      <c r="C294" s="675" t="s">
        <v>543</v>
      </c>
      <c r="D294" s="676" t="s">
        <v>21</v>
      </c>
      <c r="E294" s="349">
        <v>64</v>
      </c>
      <c r="F294" s="349">
        <f>'PB VIII - Composições Auxilia'!F137</f>
        <v>233.52</v>
      </c>
      <c r="G294" s="694">
        <f t="shared" ref="G294:G311" si="27">ROUND(E294*F294,2)</f>
        <v>14945.28</v>
      </c>
      <c r="H294" s="679"/>
    </row>
    <row r="295" s="652" customFormat="1" ht="22.5" spans="1:8">
      <c r="A295" s="687" t="str">
        <f>'PB VIII - Composições Auxilia'!A139</f>
        <v>COMP. 16 - DPE</v>
      </c>
      <c r="B295" s="676" t="s">
        <v>544</v>
      </c>
      <c r="C295" s="675" t="s">
        <v>545</v>
      </c>
      <c r="D295" s="676" t="s">
        <v>21</v>
      </c>
      <c r="E295" s="349">
        <v>12</v>
      </c>
      <c r="F295" s="349">
        <f>'PB VIII - Composições Auxilia'!F145</f>
        <v>219.08</v>
      </c>
      <c r="G295" s="694">
        <f t="shared" si="27"/>
        <v>2628.96</v>
      </c>
      <c r="H295" s="679"/>
    </row>
    <row r="296" s="652" customFormat="1" ht="22.5" spans="1:8">
      <c r="A296" s="687" t="str">
        <f>'PB VIII - Composições Auxilia'!A147</f>
        <v>COMP. 17 - DPE</v>
      </c>
      <c r="B296" s="676" t="s">
        <v>546</v>
      </c>
      <c r="C296" s="675" t="s">
        <v>547</v>
      </c>
      <c r="D296" s="676" t="s">
        <v>21</v>
      </c>
      <c r="E296" s="349">
        <v>2</v>
      </c>
      <c r="F296" s="349">
        <f>'PB VIII - Composições Auxilia'!F156</f>
        <v>383.3</v>
      </c>
      <c r="G296" s="694">
        <f t="shared" si="27"/>
        <v>766.6</v>
      </c>
      <c r="H296" s="679"/>
    </row>
    <row r="297" s="652" customFormat="1" ht="22.5" spans="1:8">
      <c r="A297" s="687" t="str">
        <f>'PB VIII - Composições Auxilia'!A158</f>
        <v>COMP. 18 - DPE</v>
      </c>
      <c r="B297" s="676" t="s">
        <v>548</v>
      </c>
      <c r="C297" s="675" t="s">
        <v>549</v>
      </c>
      <c r="D297" s="676" t="s">
        <v>21</v>
      </c>
      <c r="E297" s="349">
        <v>14</v>
      </c>
      <c r="F297" s="349">
        <f>'PB VIII - Composições Auxilia'!F164</f>
        <v>102.07</v>
      </c>
      <c r="G297" s="694">
        <f t="shared" si="27"/>
        <v>1428.98</v>
      </c>
      <c r="H297" s="679"/>
    </row>
    <row r="298" s="652" customFormat="1" ht="22.5" spans="1:8">
      <c r="A298" s="687" t="str">
        <f>'PB VIII - Composições Auxilia'!A166</f>
        <v>COMP. 19 - DPE</v>
      </c>
      <c r="B298" s="676" t="s">
        <v>550</v>
      </c>
      <c r="C298" s="675" t="s">
        <v>551</v>
      </c>
      <c r="D298" s="676" t="s">
        <v>21</v>
      </c>
      <c r="E298" s="349">
        <v>5</v>
      </c>
      <c r="F298" s="349">
        <f>'PB VIII - Composições Auxilia'!F171</f>
        <v>114.73</v>
      </c>
      <c r="G298" s="694">
        <f t="shared" si="27"/>
        <v>573.65</v>
      </c>
      <c r="H298" s="679"/>
    </row>
    <row r="299" s="652" customFormat="1" ht="22.5" spans="1:8">
      <c r="A299" s="687">
        <v>83399</v>
      </c>
      <c r="B299" s="676" t="s">
        <v>552</v>
      </c>
      <c r="C299" s="675" t="s">
        <v>553</v>
      </c>
      <c r="D299" s="676" t="s">
        <v>21</v>
      </c>
      <c r="E299" s="349">
        <v>3</v>
      </c>
      <c r="F299" s="349">
        <v>26.34</v>
      </c>
      <c r="G299" s="694">
        <f t="shared" si="27"/>
        <v>79.02</v>
      </c>
      <c r="H299" s="679"/>
    </row>
    <row r="300" s="652" customFormat="1" ht="22.5" spans="1:8">
      <c r="A300" s="687">
        <v>91992</v>
      </c>
      <c r="B300" s="676" t="s">
        <v>554</v>
      </c>
      <c r="C300" s="696" t="s">
        <v>555</v>
      </c>
      <c r="D300" s="676" t="s">
        <v>21</v>
      </c>
      <c r="E300" s="349">
        <v>11</v>
      </c>
      <c r="F300" s="349">
        <v>26.45</v>
      </c>
      <c r="G300" s="694">
        <f t="shared" si="27"/>
        <v>290.95</v>
      </c>
      <c r="H300" s="679"/>
    </row>
    <row r="301" s="652" customFormat="1" ht="22.5" spans="1:8">
      <c r="A301" s="687">
        <v>91993</v>
      </c>
      <c r="B301" s="676" t="s">
        <v>556</v>
      </c>
      <c r="C301" s="696" t="s">
        <v>557</v>
      </c>
      <c r="D301" s="676" t="s">
        <v>21</v>
      </c>
      <c r="E301" s="349">
        <v>10</v>
      </c>
      <c r="F301" s="349">
        <v>27.67</v>
      </c>
      <c r="G301" s="694">
        <f t="shared" si="27"/>
        <v>276.7</v>
      </c>
      <c r="H301" s="679"/>
    </row>
    <row r="302" s="652" customFormat="1" ht="22.5" spans="1:8">
      <c r="A302" s="687">
        <v>91996</v>
      </c>
      <c r="B302" s="676" t="s">
        <v>558</v>
      </c>
      <c r="C302" s="696" t="s">
        <v>559</v>
      </c>
      <c r="D302" s="676" t="s">
        <v>21</v>
      </c>
      <c r="E302" s="349">
        <v>2</v>
      </c>
      <c r="F302" s="349">
        <v>19.91</v>
      </c>
      <c r="G302" s="694">
        <f t="shared" si="27"/>
        <v>39.82</v>
      </c>
      <c r="H302" s="679"/>
    </row>
    <row r="303" s="652" customFormat="1" ht="22.5" spans="1:8">
      <c r="A303" s="687">
        <v>91997</v>
      </c>
      <c r="B303" s="676" t="s">
        <v>560</v>
      </c>
      <c r="C303" s="696" t="s">
        <v>561</v>
      </c>
      <c r="D303" s="676" t="s">
        <v>21</v>
      </c>
      <c r="E303" s="349">
        <v>1</v>
      </c>
      <c r="F303" s="349">
        <v>21.13</v>
      </c>
      <c r="G303" s="694">
        <f t="shared" si="27"/>
        <v>21.13</v>
      </c>
      <c r="H303" s="679"/>
    </row>
    <row r="304" s="652" customFormat="1" ht="22.5" spans="1:8">
      <c r="A304" s="687">
        <v>92005</v>
      </c>
      <c r="B304" s="676" t="s">
        <v>562</v>
      </c>
      <c r="C304" s="696" t="s">
        <v>563</v>
      </c>
      <c r="D304" s="676" t="s">
        <v>21</v>
      </c>
      <c r="E304" s="349">
        <v>5</v>
      </c>
      <c r="F304" s="349">
        <v>35.32</v>
      </c>
      <c r="G304" s="694">
        <f t="shared" si="27"/>
        <v>176.6</v>
      </c>
      <c r="H304" s="679"/>
    </row>
    <row r="305" s="652" customFormat="1" ht="22.5" spans="1:8">
      <c r="A305" s="687">
        <v>91953</v>
      </c>
      <c r="B305" s="676" t="s">
        <v>564</v>
      </c>
      <c r="C305" s="696" t="s">
        <v>565</v>
      </c>
      <c r="D305" s="676" t="s">
        <v>21</v>
      </c>
      <c r="E305" s="349">
        <v>17</v>
      </c>
      <c r="F305" s="349">
        <v>16.5</v>
      </c>
      <c r="G305" s="694">
        <f t="shared" si="27"/>
        <v>280.5</v>
      </c>
      <c r="H305" s="679"/>
    </row>
    <row r="306" s="652" customFormat="1" ht="22.5" spans="1:8">
      <c r="A306" s="687">
        <v>91959</v>
      </c>
      <c r="B306" s="676" t="s">
        <v>566</v>
      </c>
      <c r="C306" s="696" t="s">
        <v>567</v>
      </c>
      <c r="D306" s="676" t="s">
        <v>21</v>
      </c>
      <c r="E306" s="349">
        <v>3</v>
      </c>
      <c r="F306" s="349">
        <v>26.09</v>
      </c>
      <c r="G306" s="694">
        <f t="shared" si="27"/>
        <v>78.27</v>
      </c>
      <c r="H306" s="679"/>
    </row>
    <row r="307" s="652" customFormat="1" ht="22.5" spans="1:8">
      <c r="A307" s="687">
        <v>91967</v>
      </c>
      <c r="B307" s="676" t="s">
        <v>568</v>
      </c>
      <c r="C307" s="696" t="s">
        <v>569</v>
      </c>
      <c r="D307" s="676" t="s">
        <v>21</v>
      </c>
      <c r="E307" s="349">
        <v>1</v>
      </c>
      <c r="F307" s="349">
        <v>35.67</v>
      </c>
      <c r="G307" s="694">
        <f t="shared" si="27"/>
        <v>35.67</v>
      </c>
      <c r="H307" s="679"/>
    </row>
    <row r="308" s="652" customFormat="1" ht="22.5" spans="1:8">
      <c r="A308" s="687">
        <v>91955</v>
      </c>
      <c r="B308" s="676" t="s">
        <v>570</v>
      </c>
      <c r="C308" s="696" t="s">
        <v>571</v>
      </c>
      <c r="D308" s="676" t="s">
        <v>21</v>
      </c>
      <c r="E308" s="349">
        <v>2</v>
      </c>
      <c r="F308" s="349">
        <v>20.54</v>
      </c>
      <c r="G308" s="694">
        <f t="shared" si="27"/>
        <v>41.08</v>
      </c>
      <c r="H308" s="679"/>
    </row>
    <row r="309" s="652" customFormat="1" ht="22.5" spans="1:8">
      <c r="A309" s="687">
        <v>91961</v>
      </c>
      <c r="B309" s="676" t="s">
        <v>572</v>
      </c>
      <c r="C309" s="696" t="s">
        <v>573</v>
      </c>
      <c r="D309" s="676" t="s">
        <v>21</v>
      </c>
      <c r="E309" s="349">
        <v>2</v>
      </c>
      <c r="F309" s="349">
        <v>34.14</v>
      </c>
      <c r="G309" s="694">
        <f t="shared" si="27"/>
        <v>68.28</v>
      </c>
      <c r="H309" s="679"/>
    </row>
    <row r="310" s="652" customFormat="1" ht="22.5" spans="1:8">
      <c r="A310" s="687">
        <v>92000</v>
      </c>
      <c r="B310" s="676" t="s">
        <v>574</v>
      </c>
      <c r="C310" s="696" t="s">
        <v>575</v>
      </c>
      <c r="D310" s="676" t="s">
        <v>21</v>
      </c>
      <c r="E310" s="349">
        <v>19</v>
      </c>
      <c r="F310" s="349">
        <v>17.37</v>
      </c>
      <c r="G310" s="694">
        <f t="shared" si="27"/>
        <v>330.03</v>
      </c>
      <c r="H310" s="679"/>
    </row>
    <row r="311" s="652" customFormat="1" ht="22.5" spans="1:8">
      <c r="A311" s="687">
        <v>92008</v>
      </c>
      <c r="B311" s="676" t="s">
        <v>576</v>
      </c>
      <c r="C311" s="696" t="s">
        <v>577</v>
      </c>
      <c r="D311" s="676" t="s">
        <v>21</v>
      </c>
      <c r="E311" s="349">
        <v>22</v>
      </c>
      <c r="F311" s="349">
        <v>27.8</v>
      </c>
      <c r="G311" s="694">
        <f t="shared" si="27"/>
        <v>611.6</v>
      </c>
      <c r="H311" s="679"/>
    </row>
    <row r="312" s="652" customFormat="1" ht="12" spans="1:8">
      <c r="A312" s="696"/>
      <c r="B312" s="758" t="s">
        <v>327</v>
      </c>
      <c r="C312" s="759" t="s">
        <v>578</v>
      </c>
      <c r="D312" s="687"/>
      <c r="E312" s="695"/>
      <c r="F312" s="349"/>
      <c r="G312" s="694"/>
      <c r="H312" s="679"/>
    </row>
    <row r="313" s="652" customFormat="1" ht="22.5" spans="1:8">
      <c r="A313" s="676">
        <v>90447</v>
      </c>
      <c r="B313" s="676" t="s">
        <v>579</v>
      </c>
      <c r="C313" s="696" t="s">
        <v>580</v>
      </c>
      <c r="D313" s="676" t="s">
        <v>120</v>
      </c>
      <c r="E313" s="349">
        <v>259</v>
      </c>
      <c r="F313" s="349">
        <v>4.66</v>
      </c>
      <c r="G313" s="694">
        <f t="shared" ref="G313:G327" si="28">ROUND(E313*F313,2)</f>
        <v>1206.94</v>
      </c>
      <c r="H313" s="679"/>
    </row>
    <row r="314" s="652" customFormat="1" ht="22.5" spans="1:8">
      <c r="A314" s="676">
        <v>90466</v>
      </c>
      <c r="B314" s="676" t="s">
        <v>581</v>
      </c>
      <c r="C314" s="696" t="s">
        <v>582</v>
      </c>
      <c r="D314" s="676" t="s">
        <v>120</v>
      </c>
      <c r="E314" s="349">
        <v>259</v>
      </c>
      <c r="F314" s="349">
        <v>9.66</v>
      </c>
      <c r="G314" s="694">
        <f t="shared" si="28"/>
        <v>2501.94</v>
      </c>
      <c r="H314" s="679"/>
    </row>
    <row r="315" s="652" customFormat="1" ht="22.5" spans="1:8">
      <c r="A315" s="687">
        <v>91854</v>
      </c>
      <c r="B315" s="676" t="s">
        <v>583</v>
      </c>
      <c r="C315" s="696" t="s">
        <v>584</v>
      </c>
      <c r="D315" s="687" t="s">
        <v>120</v>
      </c>
      <c r="E315" s="349">
        <v>259</v>
      </c>
      <c r="F315" s="349">
        <v>6.1</v>
      </c>
      <c r="G315" s="694">
        <f t="shared" si="28"/>
        <v>1579.9</v>
      </c>
      <c r="H315" s="679"/>
    </row>
    <row r="316" s="652" customFormat="1" ht="22.5" spans="1:8">
      <c r="A316" s="687">
        <v>91834</v>
      </c>
      <c r="B316" s="676" t="s">
        <v>585</v>
      </c>
      <c r="C316" s="696" t="s">
        <v>586</v>
      </c>
      <c r="D316" s="687" t="s">
        <v>120</v>
      </c>
      <c r="E316" s="349">
        <v>231.7</v>
      </c>
      <c r="F316" s="349">
        <v>5.84</v>
      </c>
      <c r="G316" s="694">
        <f t="shared" si="28"/>
        <v>1353.13</v>
      </c>
      <c r="H316" s="679"/>
    </row>
    <row r="317" s="652" customFormat="1" ht="22.5" spans="1:8">
      <c r="A317" s="687">
        <v>91867</v>
      </c>
      <c r="B317" s="676" t="s">
        <v>587</v>
      </c>
      <c r="C317" s="696" t="s">
        <v>588</v>
      </c>
      <c r="D317" s="687" t="s">
        <v>120</v>
      </c>
      <c r="E317" s="349">
        <v>98.65</v>
      </c>
      <c r="F317" s="349">
        <v>5.65</v>
      </c>
      <c r="G317" s="694">
        <f t="shared" si="28"/>
        <v>557.37</v>
      </c>
      <c r="H317" s="679"/>
    </row>
    <row r="318" s="652" customFormat="1" ht="22.5" spans="1:8">
      <c r="A318" s="687">
        <v>91836</v>
      </c>
      <c r="B318" s="676" t="s">
        <v>589</v>
      </c>
      <c r="C318" s="696" t="s">
        <v>590</v>
      </c>
      <c r="D318" s="687" t="s">
        <v>120</v>
      </c>
      <c r="E318" s="349">
        <v>5.2</v>
      </c>
      <c r="F318" s="349">
        <v>7.4</v>
      </c>
      <c r="G318" s="694">
        <f t="shared" si="28"/>
        <v>38.48</v>
      </c>
      <c r="H318" s="679"/>
    </row>
    <row r="319" s="652" customFormat="1" ht="22.5" spans="1:8">
      <c r="A319" s="687">
        <v>91869</v>
      </c>
      <c r="B319" s="676" t="s">
        <v>591</v>
      </c>
      <c r="C319" s="696" t="s">
        <v>592</v>
      </c>
      <c r="D319" s="687" t="s">
        <v>120</v>
      </c>
      <c r="E319" s="349">
        <v>16.1</v>
      </c>
      <c r="F319" s="349">
        <v>9.74</v>
      </c>
      <c r="G319" s="694">
        <f t="shared" si="28"/>
        <v>156.81</v>
      </c>
      <c r="H319" s="679"/>
    </row>
    <row r="320" s="652" customFormat="1" ht="22.5" spans="1:8">
      <c r="A320" s="687">
        <v>93009</v>
      </c>
      <c r="B320" s="676" t="s">
        <v>593</v>
      </c>
      <c r="C320" s="696" t="s">
        <v>594</v>
      </c>
      <c r="D320" s="687" t="s">
        <v>120</v>
      </c>
      <c r="E320" s="174">
        <v>52.3</v>
      </c>
      <c r="F320" s="349">
        <v>13.01</v>
      </c>
      <c r="G320" s="694">
        <f t="shared" si="28"/>
        <v>680.42</v>
      </c>
      <c r="H320" s="679"/>
    </row>
    <row r="321" s="652" customFormat="1" ht="12" spans="1:8">
      <c r="A321" s="687">
        <v>90456</v>
      </c>
      <c r="B321" s="676" t="s">
        <v>595</v>
      </c>
      <c r="C321" s="696" t="s">
        <v>596</v>
      </c>
      <c r="D321" s="676" t="s">
        <v>21</v>
      </c>
      <c r="E321" s="349">
        <v>85</v>
      </c>
      <c r="F321" s="349">
        <v>3.08</v>
      </c>
      <c r="G321" s="694">
        <f t="shared" si="28"/>
        <v>261.8</v>
      </c>
      <c r="H321" s="679"/>
    </row>
    <row r="322" s="652" customFormat="1" ht="22.5" spans="1:8">
      <c r="A322" s="687" t="str">
        <f>'PB VIII - Composições Auxilia'!A173</f>
        <v>COMP. 20 - DPE</v>
      </c>
      <c r="B322" s="676" t="s">
        <v>597</v>
      </c>
      <c r="C322" s="675" t="s">
        <v>598</v>
      </c>
      <c r="D322" s="676" t="s">
        <v>21</v>
      </c>
      <c r="E322" s="349">
        <v>81</v>
      </c>
      <c r="F322" s="349">
        <f>'PB VIII - Composições Auxilia'!F178</f>
        <v>8.24</v>
      </c>
      <c r="G322" s="694">
        <f t="shared" si="28"/>
        <v>667.44</v>
      </c>
      <c r="H322" s="679"/>
    </row>
    <row r="323" s="652" customFormat="1" ht="22.5" spans="1:8">
      <c r="A323" s="687">
        <v>91939</v>
      </c>
      <c r="B323" s="676" t="s">
        <v>599</v>
      </c>
      <c r="C323" s="696" t="s">
        <v>600</v>
      </c>
      <c r="D323" s="687" t="s">
        <v>601</v>
      </c>
      <c r="E323" s="349">
        <v>11</v>
      </c>
      <c r="F323" s="349">
        <v>19.71</v>
      </c>
      <c r="G323" s="694">
        <f t="shared" si="28"/>
        <v>216.81</v>
      </c>
      <c r="H323" s="679"/>
    </row>
    <row r="324" s="652" customFormat="1" ht="22.5" spans="1:8">
      <c r="A324" s="687">
        <v>91940</v>
      </c>
      <c r="B324" s="676" t="s">
        <v>602</v>
      </c>
      <c r="C324" s="696" t="s">
        <v>603</v>
      </c>
      <c r="D324" s="687" t="s">
        <v>601</v>
      </c>
      <c r="E324" s="349">
        <f>SUM(E302:E309)</f>
        <v>33</v>
      </c>
      <c r="F324" s="349">
        <v>10.25</v>
      </c>
      <c r="G324" s="694">
        <f t="shared" si="28"/>
        <v>338.25</v>
      </c>
      <c r="H324" s="679"/>
    </row>
    <row r="325" s="652" customFormat="1" ht="22.5" spans="1:8">
      <c r="A325" s="687">
        <v>91941</v>
      </c>
      <c r="B325" s="676" t="s">
        <v>604</v>
      </c>
      <c r="C325" s="696" t="s">
        <v>605</v>
      </c>
      <c r="D325" s="687" t="s">
        <v>21</v>
      </c>
      <c r="E325" s="349">
        <v>41</v>
      </c>
      <c r="F325" s="349">
        <v>6.71</v>
      </c>
      <c r="G325" s="694">
        <f t="shared" si="28"/>
        <v>275.11</v>
      </c>
      <c r="H325" s="679"/>
    </row>
    <row r="326" s="652" customFormat="1" ht="12" spans="1:8">
      <c r="A326" s="687">
        <v>83448</v>
      </c>
      <c r="B326" s="676" t="s">
        <v>606</v>
      </c>
      <c r="C326" s="675" t="s">
        <v>607</v>
      </c>
      <c r="D326" s="687" t="s">
        <v>21</v>
      </c>
      <c r="E326" s="349">
        <v>6</v>
      </c>
      <c r="F326" s="349">
        <v>220.32</v>
      </c>
      <c r="G326" s="694">
        <f t="shared" si="28"/>
        <v>1321.92</v>
      </c>
      <c r="H326" s="679"/>
    </row>
    <row r="327" s="652" customFormat="1" ht="12" spans="1:8">
      <c r="A327" s="687">
        <v>83443</v>
      </c>
      <c r="B327" s="676" t="s">
        <v>608</v>
      </c>
      <c r="C327" s="675" t="s">
        <v>609</v>
      </c>
      <c r="D327" s="687" t="s">
        <v>21</v>
      </c>
      <c r="E327" s="349">
        <v>4</v>
      </c>
      <c r="F327" s="349">
        <v>41.53</v>
      </c>
      <c r="G327" s="694">
        <f t="shared" si="28"/>
        <v>166.12</v>
      </c>
      <c r="H327" s="679"/>
    </row>
    <row r="328" s="652" customFormat="1" ht="12" spans="1:8">
      <c r="A328" s="687"/>
      <c r="B328" s="758" t="s">
        <v>424</v>
      </c>
      <c r="C328" s="759" t="s">
        <v>610</v>
      </c>
      <c r="D328" s="687"/>
      <c r="E328" s="349"/>
      <c r="F328" s="349"/>
      <c r="G328" s="694"/>
      <c r="H328" s="679"/>
    </row>
    <row r="329" s="652" customFormat="1" ht="22.5" spans="1:8">
      <c r="A329" s="687">
        <v>91924</v>
      </c>
      <c r="B329" s="687" t="s">
        <v>611</v>
      </c>
      <c r="C329" s="696" t="s">
        <v>612</v>
      </c>
      <c r="D329" s="687" t="s">
        <v>120</v>
      </c>
      <c r="E329" s="349">
        <v>483.4</v>
      </c>
      <c r="F329" s="349">
        <v>1.48</v>
      </c>
      <c r="G329" s="694">
        <f t="shared" ref="G329:G335" si="29">ROUND(E329*F329,2)</f>
        <v>715.43</v>
      </c>
      <c r="H329" s="679"/>
    </row>
    <row r="330" s="652" customFormat="1" ht="22.5" spans="1:8">
      <c r="A330" s="687">
        <v>91926</v>
      </c>
      <c r="B330" s="687" t="s">
        <v>613</v>
      </c>
      <c r="C330" s="696" t="s">
        <v>614</v>
      </c>
      <c r="D330" s="687" t="s">
        <v>120</v>
      </c>
      <c r="E330" s="349">
        <v>988</v>
      </c>
      <c r="F330" s="349">
        <v>2.7</v>
      </c>
      <c r="G330" s="694">
        <f t="shared" si="29"/>
        <v>2667.6</v>
      </c>
      <c r="H330" s="679"/>
    </row>
    <row r="331" s="652" customFormat="1" ht="22.5" spans="1:8">
      <c r="A331" s="687">
        <v>91928</v>
      </c>
      <c r="B331" s="687" t="s">
        <v>615</v>
      </c>
      <c r="C331" s="696" t="s">
        <v>616</v>
      </c>
      <c r="D331" s="687" t="s">
        <v>120</v>
      </c>
      <c r="E331" s="349">
        <v>603.7</v>
      </c>
      <c r="F331" s="349">
        <v>3.82</v>
      </c>
      <c r="G331" s="694">
        <f t="shared" si="29"/>
        <v>2306.13</v>
      </c>
      <c r="H331" s="679"/>
    </row>
    <row r="332" s="652" customFormat="1" ht="22.5" spans="1:8">
      <c r="A332" s="687">
        <v>91931</v>
      </c>
      <c r="B332" s="687" t="s">
        <v>617</v>
      </c>
      <c r="C332" s="696" t="s">
        <v>618</v>
      </c>
      <c r="D332" s="687" t="s">
        <v>120</v>
      </c>
      <c r="E332" s="349">
        <v>44.5</v>
      </c>
      <c r="F332" s="349">
        <v>4.89</v>
      </c>
      <c r="G332" s="694">
        <f t="shared" si="29"/>
        <v>217.61</v>
      </c>
      <c r="H332" s="679"/>
    </row>
    <row r="333" s="652" customFormat="1" ht="22.5" spans="1:8">
      <c r="A333" s="687">
        <v>92980</v>
      </c>
      <c r="B333" s="687" t="s">
        <v>617</v>
      </c>
      <c r="C333" s="696" t="s">
        <v>619</v>
      </c>
      <c r="D333" s="687" t="s">
        <v>120</v>
      </c>
      <c r="E333" s="349">
        <v>35.9</v>
      </c>
      <c r="F333" s="349">
        <v>4.6</v>
      </c>
      <c r="G333" s="694">
        <f t="shared" si="29"/>
        <v>165.14</v>
      </c>
      <c r="H333" s="679"/>
    </row>
    <row r="334" s="652" customFormat="1" ht="22.5" spans="1:8">
      <c r="A334" s="687">
        <v>92986</v>
      </c>
      <c r="B334" s="687" t="s">
        <v>620</v>
      </c>
      <c r="C334" s="696" t="s">
        <v>621</v>
      </c>
      <c r="D334" s="687" t="s">
        <v>120</v>
      </c>
      <c r="E334" s="349">
        <v>95.6</v>
      </c>
      <c r="F334" s="349">
        <v>16.17</v>
      </c>
      <c r="G334" s="694">
        <f t="shared" si="29"/>
        <v>1545.85</v>
      </c>
      <c r="H334" s="679"/>
    </row>
    <row r="335" s="652" customFormat="1" ht="22.5" spans="1:8">
      <c r="A335" s="687">
        <v>92990</v>
      </c>
      <c r="B335" s="687" t="s">
        <v>622</v>
      </c>
      <c r="C335" s="696" t="s">
        <v>623</v>
      </c>
      <c r="D335" s="687" t="s">
        <v>120</v>
      </c>
      <c r="E335" s="349">
        <v>141</v>
      </c>
      <c r="F335" s="349">
        <v>30.57</v>
      </c>
      <c r="G335" s="694">
        <f t="shared" si="29"/>
        <v>4310.37</v>
      </c>
      <c r="H335" s="679"/>
    </row>
    <row r="336" s="652" customFormat="1" ht="12" spans="1:8">
      <c r="A336" s="687"/>
      <c r="B336" s="758" t="s">
        <v>424</v>
      </c>
      <c r="C336" s="759" t="s">
        <v>624</v>
      </c>
      <c r="D336" s="687"/>
      <c r="E336" s="349"/>
      <c r="F336" s="349"/>
      <c r="G336" s="694"/>
      <c r="H336" s="679"/>
    </row>
    <row r="337" s="652" customFormat="1" ht="12" spans="1:8">
      <c r="A337" s="687">
        <v>72254</v>
      </c>
      <c r="B337" s="687" t="s">
        <v>625</v>
      </c>
      <c r="C337" s="696" t="s">
        <v>626</v>
      </c>
      <c r="D337" s="687" t="s">
        <v>120</v>
      </c>
      <c r="E337" s="349">
        <v>11.7</v>
      </c>
      <c r="F337" s="349">
        <v>29.24</v>
      </c>
      <c r="G337" s="694">
        <f>ROUND(E337*F337,2)</f>
        <v>342.11</v>
      </c>
      <c r="H337" s="679"/>
    </row>
    <row r="338" s="652" customFormat="1" ht="33.75" spans="1:8">
      <c r="A338" s="687" t="str">
        <f>'PB VIII - Composições Auxilia'!A180</f>
        <v>COMP. 21 - DPE</v>
      </c>
      <c r="B338" s="687" t="s">
        <v>627</v>
      </c>
      <c r="C338" s="696" t="s">
        <v>628</v>
      </c>
      <c r="D338" s="687" t="s">
        <v>21</v>
      </c>
      <c r="E338" s="349">
        <v>3</v>
      </c>
      <c r="F338" s="349">
        <f>'PB VIII - Composições Auxilia'!F186</f>
        <v>34.9</v>
      </c>
      <c r="G338" s="694">
        <f>ROUND(E338*F338,2)</f>
        <v>104.7</v>
      </c>
      <c r="H338" s="679"/>
    </row>
    <row r="339" s="652" customFormat="1" ht="12" spans="1:8">
      <c r="A339" s="687"/>
      <c r="B339" s="758" t="s">
        <v>453</v>
      </c>
      <c r="C339" s="759" t="s">
        <v>629</v>
      </c>
      <c r="D339" s="687"/>
      <c r="E339" s="349"/>
      <c r="F339" s="349"/>
      <c r="G339" s="694"/>
      <c r="H339" s="679"/>
    </row>
    <row r="340" s="652" customFormat="1" ht="33.75" spans="1:8">
      <c r="A340" s="687" t="s">
        <v>630</v>
      </c>
      <c r="B340" s="687" t="s">
        <v>631</v>
      </c>
      <c r="C340" s="675" t="s">
        <v>632</v>
      </c>
      <c r="D340" s="687" t="s">
        <v>21</v>
      </c>
      <c r="E340" s="349">
        <v>1</v>
      </c>
      <c r="F340" s="349">
        <v>438.55</v>
      </c>
      <c r="G340" s="694">
        <f t="shared" ref="G340:G352" si="30">ROUND(E340*F340,2)</f>
        <v>438.55</v>
      </c>
      <c r="H340" s="679"/>
    </row>
    <row r="341" s="652" customFormat="1" ht="33.75" spans="1:8">
      <c r="A341" s="687" t="s">
        <v>633</v>
      </c>
      <c r="B341" s="687" t="s">
        <v>634</v>
      </c>
      <c r="C341" s="675" t="s">
        <v>635</v>
      </c>
      <c r="D341" s="687" t="s">
        <v>21</v>
      </c>
      <c r="E341" s="349">
        <v>2</v>
      </c>
      <c r="F341" s="349">
        <v>279.96</v>
      </c>
      <c r="G341" s="694">
        <f t="shared" si="30"/>
        <v>559.92</v>
      </c>
      <c r="H341" s="679"/>
    </row>
    <row r="342" s="652" customFormat="1" ht="22.5" spans="1:8">
      <c r="A342" s="687">
        <v>93653</v>
      </c>
      <c r="B342" s="687" t="s">
        <v>636</v>
      </c>
      <c r="C342" s="696" t="s">
        <v>637</v>
      </c>
      <c r="D342" s="687" t="s">
        <v>21</v>
      </c>
      <c r="E342" s="349">
        <v>8</v>
      </c>
      <c r="F342" s="349">
        <v>7.8</v>
      </c>
      <c r="G342" s="694">
        <f t="shared" si="30"/>
        <v>62.4</v>
      </c>
      <c r="H342" s="679"/>
    </row>
    <row r="343" s="652" customFormat="1" ht="22.5" spans="1:8">
      <c r="A343" s="687">
        <v>93654</v>
      </c>
      <c r="B343" s="687" t="s">
        <v>638</v>
      </c>
      <c r="C343" s="696" t="s">
        <v>639</v>
      </c>
      <c r="D343" s="687" t="s">
        <v>21</v>
      </c>
      <c r="E343" s="349">
        <v>6</v>
      </c>
      <c r="F343" s="349">
        <v>8.25</v>
      </c>
      <c r="G343" s="694">
        <f t="shared" si="30"/>
        <v>49.5</v>
      </c>
      <c r="H343" s="679"/>
    </row>
    <row r="344" s="652" customFormat="1" ht="22.5" spans="1:8">
      <c r="A344" s="687">
        <v>93655</v>
      </c>
      <c r="B344" s="687" t="s">
        <v>640</v>
      </c>
      <c r="C344" s="696" t="s">
        <v>641</v>
      </c>
      <c r="D344" s="687" t="s">
        <v>21</v>
      </c>
      <c r="E344" s="349">
        <v>3</v>
      </c>
      <c r="F344" s="349">
        <v>8.96</v>
      </c>
      <c r="G344" s="694">
        <f t="shared" si="30"/>
        <v>26.88</v>
      </c>
      <c r="H344" s="679"/>
    </row>
    <row r="345" s="652" customFormat="1" ht="22.5" spans="1:8">
      <c r="A345" s="687">
        <v>93660</v>
      </c>
      <c r="B345" s="687" t="s">
        <v>642</v>
      </c>
      <c r="C345" s="696" t="s">
        <v>643</v>
      </c>
      <c r="D345" s="687" t="s">
        <v>21</v>
      </c>
      <c r="E345" s="349">
        <v>2</v>
      </c>
      <c r="F345" s="349">
        <v>38.99</v>
      </c>
      <c r="G345" s="694">
        <f t="shared" si="30"/>
        <v>77.98</v>
      </c>
      <c r="H345" s="679"/>
    </row>
    <row r="346" s="652" customFormat="1" ht="22.5" spans="1:8">
      <c r="A346" s="687">
        <v>93661</v>
      </c>
      <c r="B346" s="687" t="s">
        <v>644</v>
      </c>
      <c r="C346" s="696" t="s">
        <v>645</v>
      </c>
      <c r="D346" s="687" t="s">
        <v>21</v>
      </c>
      <c r="E346" s="349">
        <v>8</v>
      </c>
      <c r="F346" s="349">
        <v>39.86</v>
      </c>
      <c r="G346" s="694">
        <f t="shared" si="30"/>
        <v>318.88</v>
      </c>
      <c r="H346" s="679"/>
    </row>
    <row r="347" s="652" customFormat="1" ht="22.5" spans="1:8">
      <c r="A347" s="687">
        <v>93671</v>
      </c>
      <c r="B347" s="687" t="s">
        <v>646</v>
      </c>
      <c r="C347" s="696" t="s">
        <v>647</v>
      </c>
      <c r="D347" s="687" t="s">
        <v>21</v>
      </c>
      <c r="E347" s="349">
        <v>2</v>
      </c>
      <c r="F347" s="349">
        <v>54.98</v>
      </c>
      <c r="G347" s="694">
        <f t="shared" si="30"/>
        <v>109.96</v>
      </c>
      <c r="H347" s="679"/>
    </row>
    <row r="348" s="652" customFormat="1" ht="22.5" spans="1:8">
      <c r="A348" s="687">
        <v>93672</v>
      </c>
      <c r="B348" s="687" t="s">
        <v>648</v>
      </c>
      <c r="C348" s="696" t="s">
        <v>649</v>
      </c>
      <c r="D348" s="687" t="s">
        <v>21</v>
      </c>
      <c r="E348" s="349">
        <v>2</v>
      </c>
      <c r="F348" s="349">
        <v>59.72</v>
      </c>
      <c r="G348" s="694">
        <f t="shared" si="30"/>
        <v>119.44</v>
      </c>
      <c r="H348" s="679"/>
    </row>
    <row r="349" s="652" customFormat="1" ht="22.5" spans="1:8">
      <c r="A349" s="687" t="str">
        <f>'PB VIII - Composições Auxilia'!A188</f>
        <v>COMP. 22 - DPE</v>
      </c>
      <c r="B349" s="687" t="s">
        <v>650</v>
      </c>
      <c r="C349" s="675" t="s">
        <v>651</v>
      </c>
      <c r="D349" s="687" t="s">
        <v>21</v>
      </c>
      <c r="E349" s="349">
        <v>1</v>
      </c>
      <c r="F349" s="349">
        <f>'PB VIII - Composições Auxilia'!F194</f>
        <v>119.1</v>
      </c>
      <c r="G349" s="694">
        <f t="shared" si="30"/>
        <v>119.1</v>
      </c>
      <c r="H349" s="679"/>
    </row>
    <row r="350" s="652" customFormat="1" ht="22.5" spans="1:8">
      <c r="A350" s="687" t="str">
        <f>'PB VIII - Composições Auxilia'!A196</f>
        <v>COMP. 23 - DPE</v>
      </c>
      <c r="B350" s="687" t="s">
        <v>652</v>
      </c>
      <c r="C350" s="675" t="s">
        <v>653</v>
      </c>
      <c r="D350" s="687" t="s">
        <v>21</v>
      </c>
      <c r="E350" s="349">
        <v>2</v>
      </c>
      <c r="F350" s="349">
        <f>'PB VIII - Composições Auxilia'!F202</f>
        <v>108.45</v>
      </c>
      <c r="G350" s="694">
        <f t="shared" si="30"/>
        <v>216.9</v>
      </c>
      <c r="H350" s="679"/>
    </row>
    <row r="351" s="652" customFormat="1" ht="22.5" spans="1:8">
      <c r="A351" s="687" t="str">
        <f>'PB VIII - Composições Auxilia'!A204</f>
        <v>COMP. 24 - DPE</v>
      </c>
      <c r="B351" s="687" t="s">
        <v>654</v>
      </c>
      <c r="C351" s="675" t="s">
        <v>655</v>
      </c>
      <c r="D351" s="687" t="s">
        <v>21</v>
      </c>
      <c r="E351" s="349">
        <v>12</v>
      </c>
      <c r="F351" s="349">
        <f>'PB VIII - Composições Auxilia'!F211</f>
        <v>72.36</v>
      </c>
      <c r="G351" s="694">
        <f t="shared" si="30"/>
        <v>868.32</v>
      </c>
      <c r="H351" s="679"/>
    </row>
    <row r="352" s="652" customFormat="1" ht="22.5" spans="1:8">
      <c r="A352" s="687" t="str">
        <f>'PB VIII - Composições Auxilia'!A213</f>
        <v>COMP. 25 - DPE</v>
      </c>
      <c r="B352" s="687" t="s">
        <v>656</v>
      </c>
      <c r="C352" s="675" t="s">
        <v>657</v>
      </c>
      <c r="D352" s="687" t="s">
        <v>21</v>
      </c>
      <c r="E352" s="349">
        <v>1</v>
      </c>
      <c r="F352" s="349">
        <f>'PB VIII - Composições Auxilia'!F229</f>
        <v>1143.88</v>
      </c>
      <c r="G352" s="694">
        <f t="shared" si="30"/>
        <v>1143.88</v>
      </c>
      <c r="H352" s="679"/>
    </row>
    <row r="353" s="652" customFormat="1" ht="12" spans="1:8">
      <c r="A353" s="687"/>
      <c r="B353" s="687"/>
      <c r="C353" s="675"/>
      <c r="D353" s="687"/>
      <c r="E353" s="349"/>
      <c r="F353" s="349"/>
      <c r="G353" s="694"/>
      <c r="H353" s="679"/>
    </row>
    <row r="354" s="652" customFormat="1" ht="12" spans="1:8">
      <c r="A354" s="672"/>
      <c r="B354" s="666">
        <v>20</v>
      </c>
      <c r="C354" s="671" t="s">
        <v>658</v>
      </c>
      <c r="D354" s="672"/>
      <c r="E354" s="692"/>
      <c r="F354" s="692"/>
      <c r="G354" s="674">
        <f>SUM(G355:G378)</f>
        <v>3916.11</v>
      </c>
      <c r="H354" s="679"/>
    </row>
    <row r="355" s="652" customFormat="1" ht="12" spans="1:8">
      <c r="A355" s="687">
        <v>90456</v>
      </c>
      <c r="B355" s="676" t="s">
        <v>659</v>
      </c>
      <c r="C355" s="696" t="s">
        <v>596</v>
      </c>
      <c r="D355" s="676" t="s">
        <v>21</v>
      </c>
      <c r="E355" s="349">
        <v>18</v>
      </c>
      <c r="F355" s="349">
        <v>3.08</v>
      </c>
      <c r="G355" s="694">
        <f>ROUND(E355*F355,2)</f>
        <v>55.44</v>
      </c>
      <c r="H355" s="679"/>
    </row>
    <row r="356" s="652" customFormat="1" ht="22.5" spans="1:8">
      <c r="A356" s="687">
        <v>91941</v>
      </c>
      <c r="B356" s="676" t="s">
        <v>660</v>
      </c>
      <c r="C356" s="696" t="s">
        <v>605</v>
      </c>
      <c r="D356" s="687" t="s">
        <v>21</v>
      </c>
      <c r="E356" s="349">
        <v>18</v>
      </c>
      <c r="F356" s="349">
        <v>6.71</v>
      </c>
      <c r="G356" s="694">
        <f t="shared" ref="G356:G378" si="31">ROUND(E356*F356,2)</f>
        <v>120.78</v>
      </c>
      <c r="H356" s="679"/>
    </row>
    <row r="357" s="652" customFormat="1" ht="22.5" spans="1:8">
      <c r="A357" s="687" t="str">
        <f>'PB VIII - Composições Auxilia'!A173</f>
        <v>COMP. 20 - DPE</v>
      </c>
      <c r="B357" s="676" t="s">
        <v>661</v>
      </c>
      <c r="C357" s="675" t="s">
        <v>598</v>
      </c>
      <c r="D357" s="676" t="s">
        <v>21</v>
      </c>
      <c r="E357" s="349">
        <v>1</v>
      </c>
      <c r="F357" s="349">
        <f>'PB VIII - Composições Auxilia'!F178</f>
        <v>8.24</v>
      </c>
      <c r="G357" s="694">
        <f t="shared" si="31"/>
        <v>8.24</v>
      </c>
      <c r="H357" s="679"/>
    </row>
    <row r="358" s="652" customFormat="1" ht="22.5" spans="1:8">
      <c r="A358" s="676" t="str">
        <f>'PB VIII - Composições Auxilia'!A231</f>
        <v>COMP. 26 - DPE</v>
      </c>
      <c r="B358" s="676" t="s">
        <v>662</v>
      </c>
      <c r="C358" s="675" t="s">
        <v>663</v>
      </c>
      <c r="D358" s="687" t="s">
        <v>21</v>
      </c>
      <c r="E358" s="349">
        <v>2</v>
      </c>
      <c r="F358" s="678">
        <f>'PB VIII - Composições Auxilia'!F235</f>
        <v>23.48</v>
      </c>
      <c r="G358" s="694">
        <f t="shared" si="31"/>
        <v>46.96</v>
      </c>
      <c r="H358" s="679"/>
    </row>
    <row r="359" s="652" customFormat="1" ht="22.5" spans="1:8">
      <c r="A359" s="676" t="str">
        <f>'PB VIII - Composições Auxilia'!A237</f>
        <v>COMP. 27 - DPE</v>
      </c>
      <c r="B359" s="676" t="s">
        <v>664</v>
      </c>
      <c r="C359" s="675" t="s">
        <v>665</v>
      </c>
      <c r="D359" s="687" t="s">
        <v>21</v>
      </c>
      <c r="E359" s="349">
        <v>8</v>
      </c>
      <c r="F359" s="678">
        <f>'PB VIII - Composições Auxilia'!F241</f>
        <v>41.55</v>
      </c>
      <c r="G359" s="694">
        <f t="shared" si="31"/>
        <v>332.4</v>
      </c>
      <c r="H359" s="679"/>
    </row>
    <row r="360" s="652" customFormat="1" ht="22.5" spans="1:8">
      <c r="A360" s="676" t="str">
        <f>'PB VIII - Composições Auxilia'!A243</f>
        <v>COMP. 28 - DPE</v>
      </c>
      <c r="B360" s="676" t="s">
        <v>666</v>
      </c>
      <c r="C360" s="675" t="s">
        <v>667</v>
      </c>
      <c r="D360" s="687" t="s">
        <v>21</v>
      </c>
      <c r="E360" s="349">
        <v>4</v>
      </c>
      <c r="F360" s="678">
        <f>'PB VIII - Composições Auxilia'!F247</f>
        <v>62.8</v>
      </c>
      <c r="G360" s="694">
        <f t="shared" si="31"/>
        <v>251.2</v>
      </c>
      <c r="H360" s="679"/>
    </row>
    <row r="361" s="652" customFormat="1" ht="22.5" spans="1:8">
      <c r="A361" s="676" t="str">
        <f>'PB VIII - Composições Auxilia'!A249</f>
        <v>COMP. 29 - DPE</v>
      </c>
      <c r="B361" s="676" t="s">
        <v>668</v>
      </c>
      <c r="C361" s="675" t="s">
        <v>669</v>
      </c>
      <c r="D361" s="687" t="s">
        <v>21</v>
      </c>
      <c r="E361" s="349">
        <v>4</v>
      </c>
      <c r="F361" s="678">
        <f>'PB VIII - Composições Auxilia'!F253</f>
        <v>81.44</v>
      </c>
      <c r="G361" s="694">
        <f t="shared" si="31"/>
        <v>325.76</v>
      </c>
      <c r="H361" s="679"/>
    </row>
    <row r="362" s="652" customFormat="1" ht="22.5" spans="1:8">
      <c r="A362" s="676" t="str">
        <f>'PB VIII - Composições Auxilia'!A255</f>
        <v>COMP. 30 - DPE</v>
      </c>
      <c r="B362" s="676" t="s">
        <v>670</v>
      </c>
      <c r="C362" s="675" t="s">
        <v>671</v>
      </c>
      <c r="D362" s="676" t="s">
        <v>21</v>
      </c>
      <c r="E362" s="349">
        <v>2</v>
      </c>
      <c r="F362" s="349">
        <f>'PB VIII - Composições Auxilia'!F264</f>
        <v>21.38</v>
      </c>
      <c r="G362" s="694">
        <f t="shared" si="31"/>
        <v>42.76</v>
      </c>
      <c r="H362" s="679"/>
    </row>
    <row r="363" s="652" customFormat="1" ht="22.5" spans="1:8">
      <c r="A363" s="676" t="str">
        <f>'PB VIII - Composições Auxilia'!A266</f>
        <v>COMP. 31 - DPE</v>
      </c>
      <c r="B363" s="676" t="s">
        <v>672</v>
      </c>
      <c r="C363" s="675" t="s">
        <v>673</v>
      </c>
      <c r="D363" s="676" t="s">
        <v>674</v>
      </c>
      <c r="E363" s="349">
        <v>42.4</v>
      </c>
      <c r="F363" s="349">
        <f>'PB VIII - Composições Auxilia'!F272</f>
        <v>10.89</v>
      </c>
      <c r="G363" s="694">
        <f t="shared" si="31"/>
        <v>461.74</v>
      </c>
      <c r="H363" s="679"/>
    </row>
    <row r="364" s="652" customFormat="1" ht="22.5" spans="1:8">
      <c r="A364" s="676" t="str">
        <f>'PB VIII - Composições Auxilia'!A274</f>
        <v>COMP. 32 - DPE</v>
      </c>
      <c r="B364" s="676" t="s">
        <v>675</v>
      </c>
      <c r="C364" s="675" t="s">
        <v>676</v>
      </c>
      <c r="D364" s="676" t="s">
        <v>120</v>
      </c>
      <c r="E364" s="349">
        <v>6</v>
      </c>
      <c r="F364" s="349">
        <f>'PB VIII - Composições Auxilia'!F281</f>
        <v>10.47</v>
      </c>
      <c r="G364" s="694">
        <f t="shared" si="31"/>
        <v>62.82</v>
      </c>
      <c r="H364" s="679"/>
    </row>
    <row r="365" s="652" customFormat="1" ht="22.5" spans="1:8">
      <c r="A365" s="676" t="str">
        <f>'PB VIII - Composições Auxilia'!A283</f>
        <v>COMP. 33 - DPE</v>
      </c>
      <c r="B365" s="676" t="s">
        <v>677</v>
      </c>
      <c r="C365" s="675" t="s">
        <v>678</v>
      </c>
      <c r="D365" s="676" t="s">
        <v>21</v>
      </c>
      <c r="E365" s="349">
        <v>1</v>
      </c>
      <c r="F365" s="678">
        <f>'PB VIII - Composições Auxilia'!F293</f>
        <v>31.08</v>
      </c>
      <c r="G365" s="694">
        <f t="shared" si="31"/>
        <v>31.08</v>
      </c>
      <c r="H365" s="679"/>
    </row>
    <row r="366" s="652" customFormat="1" ht="22.5" spans="1:8">
      <c r="A366" s="676" t="str">
        <f>'PB VIII - Composições Auxilia'!A295</f>
        <v>COMP. 34 - DPE</v>
      </c>
      <c r="B366" s="676" t="s">
        <v>679</v>
      </c>
      <c r="C366" s="675" t="s">
        <v>680</v>
      </c>
      <c r="D366" s="676" t="s">
        <v>21</v>
      </c>
      <c r="E366" s="349">
        <v>3</v>
      </c>
      <c r="F366" s="678">
        <f>'PB VIII - Composições Auxilia'!F305</f>
        <v>33.37</v>
      </c>
      <c r="G366" s="694">
        <f t="shared" si="31"/>
        <v>100.11</v>
      </c>
      <c r="H366" s="679"/>
    </row>
    <row r="367" s="652" customFormat="1" ht="22.5" spans="1:8">
      <c r="A367" s="676" t="str">
        <f>'PB VIII - Composições Auxilia'!A308</f>
        <v>COMP. 35 - DPE</v>
      </c>
      <c r="B367" s="676" t="s">
        <v>681</v>
      </c>
      <c r="C367" s="675" t="s">
        <v>682</v>
      </c>
      <c r="D367" s="676" t="s">
        <v>21</v>
      </c>
      <c r="E367" s="349">
        <v>2</v>
      </c>
      <c r="F367" s="678">
        <f>'PB VIII - Composições Auxilia'!F318</f>
        <v>24.45</v>
      </c>
      <c r="G367" s="694">
        <f t="shared" si="31"/>
        <v>48.9</v>
      </c>
      <c r="H367" s="679"/>
    </row>
    <row r="368" s="652" customFormat="1" ht="22.5" spans="1:8">
      <c r="A368" s="676" t="str">
        <f>'PB VIII - Composições Auxilia'!A320</f>
        <v>COMP. 36 - DPE</v>
      </c>
      <c r="B368" s="676" t="s">
        <v>683</v>
      </c>
      <c r="C368" s="675" t="s">
        <v>684</v>
      </c>
      <c r="D368" s="676" t="s">
        <v>21</v>
      </c>
      <c r="E368" s="349">
        <v>1</v>
      </c>
      <c r="F368" s="678">
        <f>'PB VIII - Composições Auxilia'!F330</f>
        <v>27.03</v>
      </c>
      <c r="G368" s="694">
        <f t="shared" si="31"/>
        <v>27.03</v>
      </c>
      <c r="H368" s="679"/>
    </row>
    <row r="369" s="652" customFormat="1" ht="22.5" spans="1:8">
      <c r="A369" s="676" t="str">
        <f>'PB VIII - Composições Auxilia'!A332</f>
        <v>COMP. 37 - DPE</v>
      </c>
      <c r="B369" s="676" t="s">
        <v>685</v>
      </c>
      <c r="C369" s="675" t="s">
        <v>686</v>
      </c>
      <c r="D369" s="676" t="s">
        <v>21</v>
      </c>
      <c r="E369" s="349">
        <v>1</v>
      </c>
      <c r="F369" s="678">
        <f>'PB VIII - Composições Auxilia'!F339</f>
        <v>18.72</v>
      </c>
      <c r="G369" s="694">
        <f t="shared" si="31"/>
        <v>18.72</v>
      </c>
      <c r="H369" s="679"/>
    </row>
    <row r="370" s="652" customFormat="1" ht="22.5" spans="1:8">
      <c r="A370" s="676" t="str">
        <f>'PB VIII - Composições Auxilia'!A341</f>
        <v>COMP. 38 - DPE</v>
      </c>
      <c r="B370" s="676" t="s">
        <v>687</v>
      </c>
      <c r="C370" s="675" t="s">
        <v>688</v>
      </c>
      <c r="D370" s="676" t="s">
        <v>21</v>
      </c>
      <c r="E370" s="349">
        <v>5</v>
      </c>
      <c r="F370" s="678">
        <f>'PB VIII - Composições Auxilia'!F347</f>
        <v>6.6</v>
      </c>
      <c r="G370" s="694">
        <f t="shared" si="31"/>
        <v>33</v>
      </c>
      <c r="H370" s="679"/>
    </row>
    <row r="371" s="652" customFormat="1" ht="22.5" spans="1:8">
      <c r="A371" s="676" t="str">
        <f>'PB VIII - Composições Auxilia'!A349</f>
        <v>COMP. 39 - DPE</v>
      </c>
      <c r="B371" s="676" t="s">
        <v>689</v>
      </c>
      <c r="C371" s="675" t="s">
        <v>690</v>
      </c>
      <c r="D371" s="676" t="s">
        <v>21</v>
      </c>
      <c r="E371" s="349">
        <v>18</v>
      </c>
      <c r="F371" s="678">
        <f>'PB VIII - Composições Auxilia'!F355</f>
        <v>6.58</v>
      </c>
      <c r="G371" s="694">
        <f t="shared" si="31"/>
        <v>118.44</v>
      </c>
      <c r="H371" s="679"/>
    </row>
    <row r="372" s="652" customFormat="1" ht="22.5" spans="1:8">
      <c r="A372" s="676">
        <v>90447</v>
      </c>
      <c r="B372" s="676" t="s">
        <v>691</v>
      </c>
      <c r="C372" s="696" t="s">
        <v>580</v>
      </c>
      <c r="D372" s="676" t="s">
        <v>120</v>
      </c>
      <c r="E372" s="349">
        <f>'PB VI - Memorial'!G551</f>
        <v>44.8</v>
      </c>
      <c r="F372" s="349">
        <v>4.66</v>
      </c>
      <c r="G372" s="694">
        <f t="shared" si="31"/>
        <v>208.77</v>
      </c>
      <c r="H372" s="679"/>
    </row>
    <row r="373" s="652" customFormat="1" ht="22.5" spans="1:8">
      <c r="A373" s="676">
        <v>90466</v>
      </c>
      <c r="B373" s="676" t="s">
        <v>692</v>
      </c>
      <c r="C373" s="696" t="s">
        <v>582</v>
      </c>
      <c r="D373" s="676" t="s">
        <v>120</v>
      </c>
      <c r="E373" s="349">
        <f>'PB VI - Memorial'!G551</f>
        <v>44.8</v>
      </c>
      <c r="F373" s="349">
        <v>9.66</v>
      </c>
      <c r="G373" s="694">
        <f t="shared" si="31"/>
        <v>432.77</v>
      </c>
      <c r="H373" s="679"/>
    </row>
    <row r="374" s="652" customFormat="1" ht="22.5" spans="1:8">
      <c r="A374" s="687">
        <v>95745</v>
      </c>
      <c r="B374" s="676" t="s">
        <v>693</v>
      </c>
      <c r="C374" s="675" t="s">
        <v>694</v>
      </c>
      <c r="D374" s="687" t="s">
        <v>120</v>
      </c>
      <c r="E374" s="349">
        <f>68.8-E376</f>
        <v>24</v>
      </c>
      <c r="F374" s="678">
        <v>14.39</v>
      </c>
      <c r="G374" s="694">
        <f t="shared" si="31"/>
        <v>345.36</v>
      </c>
      <c r="H374" s="679"/>
    </row>
    <row r="375" s="652" customFormat="1" ht="22.5" spans="1:8">
      <c r="A375" s="687" t="str">
        <f>'PB VIII - Composições Auxilia'!A357</f>
        <v>COMP.40 - 
DPE</v>
      </c>
      <c r="B375" s="676" t="s">
        <v>695</v>
      </c>
      <c r="C375" s="675" t="s">
        <v>696</v>
      </c>
      <c r="D375" s="687" t="s">
        <v>120</v>
      </c>
      <c r="E375" s="349">
        <v>3</v>
      </c>
      <c r="F375" s="678">
        <f>'PB VIII - Composições Auxilia'!F363</f>
        <v>18.59</v>
      </c>
      <c r="G375" s="694">
        <f t="shared" si="31"/>
        <v>55.77</v>
      </c>
      <c r="H375" s="679"/>
    </row>
    <row r="376" s="652" customFormat="1" ht="22.5" spans="1:8">
      <c r="A376" s="687">
        <v>91854</v>
      </c>
      <c r="B376" s="676" t="s">
        <v>697</v>
      </c>
      <c r="C376" s="696" t="s">
        <v>584</v>
      </c>
      <c r="D376" s="687" t="s">
        <v>120</v>
      </c>
      <c r="E376" s="349">
        <f>E373</f>
        <v>44.8</v>
      </c>
      <c r="F376" s="349">
        <v>6.1</v>
      </c>
      <c r="G376" s="694">
        <f t="shared" si="31"/>
        <v>273.28</v>
      </c>
      <c r="H376" s="679"/>
    </row>
    <row r="377" s="652" customFormat="1" ht="22.5" spans="1:8">
      <c r="A377" s="687">
        <v>93009</v>
      </c>
      <c r="B377" s="676" t="s">
        <v>698</v>
      </c>
      <c r="C377" s="675" t="s">
        <v>699</v>
      </c>
      <c r="D377" s="687" t="s">
        <v>120</v>
      </c>
      <c r="E377" s="349">
        <v>30.3</v>
      </c>
      <c r="F377" s="678">
        <v>13.01</v>
      </c>
      <c r="G377" s="694">
        <f t="shared" si="31"/>
        <v>394.2</v>
      </c>
      <c r="H377" s="679"/>
    </row>
    <row r="378" s="652" customFormat="1" ht="33.75" spans="1:8">
      <c r="A378" s="687">
        <v>83370</v>
      </c>
      <c r="B378" s="676" t="s">
        <v>700</v>
      </c>
      <c r="C378" s="675" t="s">
        <v>701</v>
      </c>
      <c r="D378" s="687" t="s">
        <v>21</v>
      </c>
      <c r="E378" s="349">
        <v>1</v>
      </c>
      <c r="F378" s="678">
        <v>120.58</v>
      </c>
      <c r="G378" s="694">
        <f t="shared" si="31"/>
        <v>120.58</v>
      </c>
      <c r="H378" s="679"/>
    </row>
    <row r="379" s="652" customFormat="1" ht="12" spans="1:8">
      <c r="A379" s="696"/>
      <c r="B379" s="687"/>
      <c r="C379" s="696"/>
      <c r="D379" s="687"/>
      <c r="E379" s="695"/>
      <c r="F379" s="697"/>
      <c r="G379" s="694"/>
      <c r="H379" s="679"/>
    </row>
    <row r="380" s="652" customFormat="1" ht="12" spans="1:8">
      <c r="A380" s="672"/>
      <c r="B380" s="666">
        <v>21</v>
      </c>
      <c r="C380" s="671" t="s">
        <v>702</v>
      </c>
      <c r="D380" s="672"/>
      <c r="E380" s="692"/>
      <c r="F380" s="692"/>
      <c r="G380" s="674">
        <f>SUM(G381:G382)</f>
        <v>1597.27</v>
      </c>
      <c r="H380" s="679"/>
    </row>
    <row r="381" s="652" customFormat="1" ht="22.5" spans="1:7">
      <c r="A381" s="676" t="str">
        <f>'PB VIII - Composições Auxilia'!A366</f>
        <v>COMP. 41 - DPE</v>
      </c>
      <c r="B381" s="676" t="s">
        <v>703</v>
      </c>
      <c r="C381" s="348" t="s">
        <v>704</v>
      </c>
      <c r="D381" s="676" t="s">
        <v>17</v>
      </c>
      <c r="E381" s="349">
        <f>'PB VI - Memorial'!G555</f>
        <v>3.81</v>
      </c>
      <c r="F381" s="678">
        <f>'PB VIII - Composições Auxilia'!F372</f>
        <v>189.25</v>
      </c>
      <c r="G381" s="677">
        <f>ROUND(E381*F381,2)</f>
        <v>721.04</v>
      </c>
    </row>
    <row r="382" s="652" customFormat="1" ht="22.5" spans="1:8">
      <c r="A382" s="676" t="str">
        <f>'PB VIII - Composições Auxilia'!A366</f>
        <v>COMP. 41 - DPE</v>
      </c>
      <c r="B382" s="676" t="s">
        <v>705</v>
      </c>
      <c r="C382" s="348" t="s">
        <v>706</v>
      </c>
      <c r="D382" s="676" t="s">
        <v>17</v>
      </c>
      <c r="E382" s="349">
        <f>'PB VI - Memorial'!G556</f>
        <v>4.63</v>
      </c>
      <c r="F382" s="688">
        <f>'PB VIII - Composições Auxilia'!F372</f>
        <v>189.25</v>
      </c>
      <c r="G382" s="677">
        <f>ROUND(E382*F382,2)</f>
        <v>876.23</v>
      </c>
      <c r="H382" s="679"/>
    </row>
    <row r="383" s="652" customFormat="1" ht="12" spans="1:7">
      <c r="A383" s="696"/>
      <c r="B383" s="687"/>
      <c r="C383" s="696"/>
      <c r="D383" s="687"/>
      <c r="E383" s="695"/>
      <c r="F383" s="697"/>
      <c r="G383" s="694"/>
    </row>
    <row r="384" s="652" customFormat="1" ht="12" spans="1:7">
      <c r="A384" s="672"/>
      <c r="B384" s="666">
        <v>22</v>
      </c>
      <c r="C384" s="671" t="s">
        <v>707</v>
      </c>
      <c r="D384" s="672"/>
      <c r="E384" s="692"/>
      <c r="F384" s="692"/>
      <c r="G384" s="674">
        <f>SUM(G385:G391)</f>
        <v>21159.34</v>
      </c>
    </row>
    <row r="385" s="652" customFormat="1" ht="45" spans="1:8">
      <c r="A385" s="708" t="s">
        <v>708</v>
      </c>
      <c r="B385" s="676" t="s">
        <v>709</v>
      </c>
      <c r="C385" s="348" t="s">
        <v>710</v>
      </c>
      <c r="D385" s="676" t="s">
        <v>120</v>
      </c>
      <c r="E385" s="349">
        <f>'PB VI - Memorial'!D560</f>
        <v>101.11</v>
      </c>
      <c r="F385" s="688">
        <v>40.97</v>
      </c>
      <c r="G385" s="677">
        <f t="shared" ref="G385:G391" si="32">ROUND(E385*F385,2)</f>
        <v>4142.48</v>
      </c>
      <c r="H385" s="679"/>
    </row>
    <row r="386" s="652" customFormat="1" ht="22.5" spans="1:8">
      <c r="A386" s="676">
        <v>92402</v>
      </c>
      <c r="B386" s="676" t="s">
        <v>711</v>
      </c>
      <c r="C386" s="675" t="s">
        <v>712</v>
      </c>
      <c r="D386" s="676" t="s">
        <v>17</v>
      </c>
      <c r="E386" s="349">
        <f>'PB VI - Memorial'!E561</f>
        <v>21</v>
      </c>
      <c r="F386" s="349">
        <v>55.78</v>
      </c>
      <c r="G386" s="677">
        <f t="shared" si="32"/>
        <v>1171.38</v>
      </c>
      <c r="H386" s="679"/>
    </row>
    <row r="387" s="652" customFormat="1" ht="22.5" spans="1:8">
      <c r="A387" s="676">
        <v>92404</v>
      </c>
      <c r="B387" s="676" t="s">
        <v>713</v>
      </c>
      <c r="C387" s="675" t="s">
        <v>714</v>
      </c>
      <c r="D387" s="676" t="s">
        <v>17</v>
      </c>
      <c r="E387" s="349">
        <f>'PB VI - Memorial'!E562</f>
        <v>174.26</v>
      </c>
      <c r="F387" s="349">
        <v>53.34</v>
      </c>
      <c r="G387" s="677">
        <f t="shared" si="32"/>
        <v>9295.03</v>
      </c>
      <c r="H387" s="679"/>
    </row>
    <row r="388" s="652" customFormat="1" ht="33.75" spans="1:8">
      <c r="A388" s="676">
        <v>94990</v>
      </c>
      <c r="B388" s="676" t="s">
        <v>715</v>
      </c>
      <c r="C388" s="675" t="s">
        <v>716</v>
      </c>
      <c r="D388" s="676" t="s">
        <v>56</v>
      </c>
      <c r="E388" s="349">
        <f>'PB VI - Memorial'!E563*0.1</f>
        <v>3.393</v>
      </c>
      <c r="F388" s="349">
        <v>601.52</v>
      </c>
      <c r="G388" s="677">
        <f t="shared" si="32"/>
        <v>2040.96</v>
      </c>
      <c r="H388" s="679"/>
    </row>
    <row r="389" s="652" customFormat="1" ht="22.5" spans="1:8">
      <c r="A389" s="676" t="s">
        <v>717</v>
      </c>
      <c r="B389" s="676" t="s">
        <v>718</v>
      </c>
      <c r="C389" s="675" t="s">
        <v>719</v>
      </c>
      <c r="D389" s="676" t="s">
        <v>17</v>
      </c>
      <c r="E389" s="349">
        <f>'PB VI - Memorial'!E564</f>
        <v>68.36</v>
      </c>
      <c r="F389" s="349">
        <v>11.19</v>
      </c>
      <c r="G389" s="677">
        <f t="shared" si="32"/>
        <v>764.95</v>
      </c>
      <c r="H389" s="679"/>
    </row>
    <row r="390" s="652" customFormat="1" ht="33.75" spans="1:8">
      <c r="A390" s="676">
        <v>94990</v>
      </c>
      <c r="B390" s="676" t="s">
        <v>720</v>
      </c>
      <c r="C390" s="675" t="s">
        <v>721</v>
      </c>
      <c r="D390" s="676" t="s">
        <v>56</v>
      </c>
      <c r="E390" s="349">
        <f>'PB VI - Memorial'!E565*0.1</f>
        <v>4.5</v>
      </c>
      <c r="F390" s="349">
        <v>601.52</v>
      </c>
      <c r="G390" s="677">
        <f t="shared" si="32"/>
        <v>2706.84</v>
      </c>
      <c r="H390" s="679"/>
    </row>
    <row r="391" s="652" customFormat="1" ht="12" spans="1:8">
      <c r="A391" s="676">
        <v>7156</v>
      </c>
      <c r="B391" s="676" t="s">
        <v>722</v>
      </c>
      <c r="C391" s="675" t="s">
        <v>723</v>
      </c>
      <c r="D391" s="676" t="s">
        <v>17</v>
      </c>
      <c r="E391" s="349">
        <f>'PB VI - Memorial'!E565</f>
        <v>45</v>
      </c>
      <c r="F391" s="349">
        <v>23.06</v>
      </c>
      <c r="G391" s="677">
        <f t="shared" si="32"/>
        <v>1037.7</v>
      </c>
      <c r="H391" s="679"/>
    </row>
    <row r="392" s="652" customFormat="1" ht="12" spans="1:8">
      <c r="A392" s="676"/>
      <c r="B392" s="676"/>
      <c r="C392" s="675"/>
      <c r="D392" s="676"/>
      <c r="E392" s="349"/>
      <c r="F392" s="349"/>
      <c r="G392" s="677"/>
      <c r="H392" s="679"/>
    </row>
    <row r="393" s="652" customFormat="1" ht="12" spans="1:8">
      <c r="A393" s="672"/>
      <c r="B393" s="666">
        <v>23</v>
      </c>
      <c r="C393" s="671" t="s">
        <v>724</v>
      </c>
      <c r="D393" s="672"/>
      <c r="E393" s="692"/>
      <c r="F393" s="692"/>
      <c r="G393" s="674">
        <f>SUM(G394:G399)</f>
        <v>1468.34</v>
      </c>
      <c r="H393" s="679"/>
    </row>
    <row r="394" s="652" customFormat="1" ht="12" spans="1:8">
      <c r="A394" s="676">
        <v>89168</v>
      </c>
      <c r="B394" s="676" t="s">
        <v>725</v>
      </c>
      <c r="C394" s="675" t="s">
        <v>726</v>
      </c>
      <c r="D394" s="676" t="s">
        <v>17</v>
      </c>
      <c r="E394" s="349">
        <f>'PB VI - Memorial'!F569</f>
        <v>11.5</v>
      </c>
      <c r="F394" s="688">
        <v>58.27</v>
      </c>
      <c r="G394" s="677">
        <f>ROUND(E394*F394,2)</f>
        <v>670.11</v>
      </c>
      <c r="H394" s="679"/>
    </row>
    <row r="395" s="652" customFormat="1" ht="12" spans="1:8">
      <c r="A395" s="676">
        <v>95241</v>
      </c>
      <c r="B395" s="676" t="s">
        <v>727</v>
      </c>
      <c r="C395" s="675" t="s">
        <v>728</v>
      </c>
      <c r="D395" s="676" t="s">
        <v>17</v>
      </c>
      <c r="E395" s="349">
        <f>'PB VI - Memorial'!F570</f>
        <v>1</v>
      </c>
      <c r="F395" s="688">
        <v>21.57</v>
      </c>
      <c r="G395" s="677">
        <f t="shared" ref="G395:G399" si="33">ROUND(E395*F395,2)</f>
        <v>21.57</v>
      </c>
      <c r="H395" s="679"/>
    </row>
    <row r="396" s="652" customFormat="1" ht="12" spans="1:8">
      <c r="A396" s="676">
        <v>92544</v>
      </c>
      <c r="B396" s="676" t="s">
        <v>729</v>
      </c>
      <c r="C396" s="675" t="s">
        <v>730</v>
      </c>
      <c r="D396" s="676" t="s">
        <v>17</v>
      </c>
      <c r="E396" s="349">
        <f>'PB VI - Memorial'!F571</f>
        <v>2.25</v>
      </c>
      <c r="F396" s="688">
        <v>9.38</v>
      </c>
      <c r="G396" s="677">
        <f t="shared" si="33"/>
        <v>21.11</v>
      </c>
      <c r="H396" s="679"/>
    </row>
    <row r="397" s="652" customFormat="1" ht="12" spans="1:8">
      <c r="A397" s="676">
        <v>94207</v>
      </c>
      <c r="B397" s="676" t="s">
        <v>731</v>
      </c>
      <c r="C397" s="675" t="s">
        <v>732</v>
      </c>
      <c r="D397" s="676" t="s">
        <v>17</v>
      </c>
      <c r="E397" s="349">
        <f>'PB VI - Memorial'!F571</f>
        <v>2.25</v>
      </c>
      <c r="F397" s="688">
        <v>30.8</v>
      </c>
      <c r="G397" s="677">
        <f t="shared" si="33"/>
        <v>69.3</v>
      </c>
      <c r="H397" s="679"/>
    </row>
    <row r="398" s="652" customFormat="1" ht="12" spans="1:8">
      <c r="A398" s="676">
        <v>94990</v>
      </c>
      <c r="B398" s="676" t="s">
        <v>733</v>
      </c>
      <c r="C398" s="675" t="s">
        <v>734</v>
      </c>
      <c r="D398" s="676" t="s">
        <v>56</v>
      </c>
      <c r="E398" s="349">
        <f>'PB VI - Memorial'!G572</f>
        <v>0.7</v>
      </c>
      <c r="F398" s="688">
        <v>601.52</v>
      </c>
      <c r="G398" s="677">
        <f t="shared" si="33"/>
        <v>421.06</v>
      </c>
      <c r="H398" s="679"/>
    </row>
    <row r="399" s="652" customFormat="1" ht="12" spans="1:8">
      <c r="A399" s="676">
        <v>7156</v>
      </c>
      <c r="B399" s="676" t="s">
        <v>735</v>
      </c>
      <c r="C399" s="675" t="s">
        <v>736</v>
      </c>
      <c r="D399" s="676" t="s">
        <v>17</v>
      </c>
      <c r="E399" s="349">
        <f>'PB VI - Memorial'!F569</f>
        <v>11.5</v>
      </c>
      <c r="F399" s="688">
        <v>23.06</v>
      </c>
      <c r="G399" s="677">
        <f t="shared" si="33"/>
        <v>265.19</v>
      </c>
      <c r="H399" s="679"/>
    </row>
    <row r="400" s="652" customFormat="1" ht="12" spans="1:8">
      <c r="A400" s="676"/>
      <c r="B400" s="676"/>
      <c r="C400" s="675"/>
      <c r="D400" s="676"/>
      <c r="E400" s="349"/>
      <c r="F400" s="349"/>
      <c r="G400" s="677"/>
      <c r="H400" s="679"/>
    </row>
    <row r="401" s="652" customFormat="1" ht="12" spans="1:8">
      <c r="A401" s="672"/>
      <c r="B401" s="666">
        <v>24</v>
      </c>
      <c r="C401" s="671" t="s">
        <v>737</v>
      </c>
      <c r="D401" s="672"/>
      <c r="E401" s="692"/>
      <c r="F401" s="692"/>
      <c r="G401" s="674">
        <f>SUM(G402:G410)</f>
        <v>15658.59</v>
      </c>
      <c r="H401" s="679"/>
    </row>
    <row r="402" s="652" customFormat="1" ht="22.5" spans="1:9">
      <c r="A402" s="676" t="s">
        <v>365</v>
      </c>
      <c r="B402" s="676" t="s">
        <v>738</v>
      </c>
      <c r="C402" s="348" t="s">
        <v>367</v>
      </c>
      <c r="D402" s="676" t="s">
        <v>17</v>
      </c>
      <c r="E402" s="349">
        <f>'PB VI - Memorial'!F570</f>
        <v>1</v>
      </c>
      <c r="F402" s="678">
        <v>11.79</v>
      </c>
      <c r="G402" s="677">
        <f>ROUND(E402*F402,2)</f>
        <v>11.79</v>
      </c>
      <c r="H402" s="679"/>
      <c r="I402" s="652" t="s">
        <v>739</v>
      </c>
    </row>
    <row r="403" s="652" customFormat="1" ht="22.5" spans="1:8">
      <c r="A403" s="676" t="str">
        <f>'PB VIII - Composições Auxilia'!A374</f>
        <v>COMP. 42 - DPE</v>
      </c>
      <c r="B403" s="676" t="s">
        <v>740</v>
      </c>
      <c r="C403" s="675" t="s">
        <v>741</v>
      </c>
      <c r="D403" s="676" t="s">
        <v>21</v>
      </c>
      <c r="E403" s="349">
        <v>1</v>
      </c>
      <c r="F403" s="678">
        <f>'PB VIII - Composições Auxilia'!F378</f>
        <v>19.31</v>
      </c>
      <c r="G403" s="677">
        <f t="shared" ref="G403:G410" si="34">ROUND(E403*F403,2)</f>
        <v>19.31</v>
      </c>
      <c r="H403" s="679"/>
    </row>
    <row r="404" s="652" customFormat="1" ht="22.5" spans="1:8">
      <c r="A404" s="676" t="str">
        <f>'PB VIII - Composições Auxilia'!A380</f>
        <v>COMP. 43 - DPE</v>
      </c>
      <c r="B404" s="676" t="s">
        <v>742</v>
      </c>
      <c r="C404" s="675" t="s">
        <v>743</v>
      </c>
      <c r="D404" s="676" t="s">
        <v>21</v>
      </c>
      <c r="E404" s="349">
        <v>1</v>
      </c>
      <c r="F404" s="678">
        <f>'PB VIII - Composições Auxilia'!F384</f>
        <v>19.44</v>
      </c>
      <c r="G404" s="677">
        <f t="shared" si="34"/>
        <v>19.44</v>
      </c>
      <c r="H404" s="669"/>
    </row>
    <row r="405" ht="15" spans="1:10">
      <c r="A405" s="676">
        <v>9537</v>
      </c>
      <c r="B405" s="676" t="s">
        <v>744</v>
      </c>
      <c r="C405" s="675" t="s">
        <v>745</v>
      </c>
      <c r="D405" s="676" t="s">
        <v>17</v>
      </c>
      <c r="E405" s="349">
        <f>'PB VI - Memorial'!G8</f>
        <v>227.5</v>
      </c>
      <c r="F405" s="688">
        <v>2.02</v>
      </c>
      <c r="G405" s="677">
        <f t="shared" si="34"/>
        <v>459.55</v>
      </c>
      <c r="I405" s="787"/>
      <c r="J405" s="787"/>
    </row>
    <row r="406" ht="33.75" spans="1:10">
      <c r="A406" s="676">
        <v>10851</v>
      </c>
      <c r="B406" s="676" t="s">
        <v>746</v>
      </c>
      <c r="C406" s="675" t="s">
        <v>747</v>
      </c>
      <c r="D406" s="676" t="s">
        <v>21</v>
      </c>
      <c r="E406" s="349">
        <v>17</v>
      </c>
      <c r="F406" s="688">
        <v>43.99</v>
      </c>
      <c r="G406" s="677">
        <f t="shared" si="34"/>
        <v>747.83</v>
      </c>
      <c r="I406" s="787"/>
      <c r="J406" s="787"/>
    </row>
    <row r="407" ht="56.25" spans="1:10">
      <c r="A407" s="676" t="str">
        <f>'PB VII - Cotação'!A117</f>
        <v>COTAÇÃO 028</v>
      </c>
      <c r="B407" s="676" t="s">
        <v>748</v>
      </c>
      <c r="C407" s="675" t="s">
        <v>749</v>
      </c>
      <c r="D407" s="676" t="s">
        <v>21</v>
      </c>
      <c r="E407" s="349">
        <v>1</v>
      </c>
      <c r="F407" s="349">
        <f>'PB VII - Cotação'!F119</f>
        <v>10062.71</v>
      </c>
      <c r="G407" s="677">
        <f t="shared" si="34"/>
        <v>10062.71</v>
      </c>
      <c r="I407" s="787"/>
      <c r="J407" s="787"/>
    </row>
    <row r="408" ht="24" customHeight="1" spans="1:10">
      <c r="A408" s="676">
        <v>10848</v>
      </c>
      <c r="B408" s="676" t="s">
        <v>750</v>
      </c>
      <c r="C408" s="675" t="s">
        <v>751</v>
      </c>
      <c r="D408" s="676" t="s">
        <v>21</v>
      </c>
      <c r="E408" s="349">
        <v>1</v>
      </c>
      <c r="F408" s="688">
        <v>678.38</v>
      </c>
      <c r="G408" s="677">
        <f t="shared" si="34"/>
        <v>678.38</v>
      </c>
      <c r="H408" s="762"/>
      <c r="I408" s="788"/>
      <c r="J408" s="787"/>
    </row>
    <row r="409" ht="15" spans="1:10">
      <c r="A409" s="676" t="s">
        <v>752</v>
      </c>
      <c r="B409" s="676" t="s">
        <v>753</v>
      </c>
      <c r="C409" s="675" t="s">
        <v>754</v>
      </c>
      <c r="D409" s="676" t="s">
        <v>17</v>
      </c>
      <c r="E409" s="678">
        <f>3*2</f>
        <v>6</v>
      </c>
      <c r="F409" s="678">
        <v>598.14</v>
      </c>
      <c r="G409" s="677">
        <f t="shared" si="34"/>
        <v>3588.84</v>
      </c>
      <c r="H409" s="763">
        <f>SUM(G10:G414)/2</f>
        <v>637828.09</v>
      </c>
      <c r="I409" s="789">
        <f>F416-G412</f>
        <v>550234.22</v>
      </c>
      <c r="J409" s="787"/>
    </row>
    <row r="410" ht="15" spans="1:10">
      <c r="A410" s="676" t="s">
        <v>365</v>
      </c>
      <c r="B410" s="676" t="s">
        <v>755</v>
      </c>
      <c r="C410" s="675" t="s">
        <v>756</v>
      </c>
      <c r="D410" s="676" t="s">
        <v>17</v>
      </c>
      <c r="E410" s="678">
        <f>E409</f>
        <v>6</v>
      </c>
      <c r="F410" s="678">
        <v>11.79</v>
      </c>
      <c r="G410" s="677">
        <f t="shared" si="34"/>
        <v>70.74</v>
      </c>
      <c r="H410" s="764">
        <f>F417*10/100</f>
        <v>84206.064</v>
      </c>
      <c r="I410" s="787"/>
      <c r="J410" s="787"/>
    </row>
    <row r="411" ht="15" spans="1:10">
      <c r="A411" s="765"/>
      <c r="B411" s="676"/>
      <c r="C411" s="675"/>
      <c r="D411" s="676"/>
      <c r="E411" s="678"/>
      <c r="F411" s="678"/>
      <c r="G411" s="677"/>
      <c r="H411" s="764"/>
      <c r="I411" s="787"/>
      <c r="J411" s="787"/>
    </row>
    <row r="412" customHeight="1" spans="1:10">
      <c r="A412" s="672"/>
      <c r="B412" s="666">
        <v>25</v>
      </c>
      <c r="C412" s="671" t="s">
        <v>757</v>
      </c>
      <c r="D412" s="666"/>
      <c r="E412" s="766"/>
      <c r="F412" s="766"/>
      <c r="G412" s="674">
        <f>SUM(G413:G414)</f>
        <v>87593.87</v>
      </c>
      <c r="H412" s="764">
        <f>F416+F421</f>
        <v>700365.09</v>
      </c>
      <c r="I412" s="790">
        <f>H409+G420</f>
        <v>700365.09</v>
      </c>
      <c r="J412" s="787"/>
    </row>
    <row r="413" ht="22.5" spans="1:10">
      <c r="A413" s="687" t="str">
        <f>'PB VIII - Composições Auxilia'!A386</f>
        <v>COMP. 44 - DPE</v>
      </c>
      <c r="B413" s="687" t="s">
        <v>758</v>
      </c>
      <c r="C413" s="696" t="s">
        <v>759</v>
      </c>
      <c r="D413" s="767" t="s">
        <v>21</v>
      </c>
      <c r="E413" s="768">
        <v>1</v>
      </c>
      <c r="F413" s="694">
        <f>'PB VIII - Composições Auxilia'!F390</f>
        <v>9808.39</v>
      </c>
      <c r="G413" s="694">
        <f>ROUND(E413*F413,2)</f>
        <v>9808.39</v>
      </c>
      <c r="I413" s="787"/>
      <c r="J413" s="787"/>
    </row>
    <row r="414" ht="24.95" customHeight="1" spans="1:10">
      <c r="A414" s="687" t="str">
        <f>'PB VIII - Composições Auxilia'!A393</f>
        <v>COMP. 45 - DPE</v>
      </c>
      <c r="B414" s="687" t="s">
        <v>760</v>
      </c>
      <c r="C414" s="696" t="s">
        <v>761</v>
      </c>
      <c r="D414" s="767" t="s">
        <v>21</v>
      </c>
      <c r="E414" s="768">
        <v>1</v>
      </c>
      <c r="F414" s="694">
        <f>'PB VIII - Composições Auxilia'!F398</f>
        <v>77785.48</v>
      </c>
      <c r="G414" s="694">
        <f>ROUND(E414*F414,2)</f>
        <v>77785.48</v>
      </c>
      <c r="I414" s="787"/>
      <c r="J414" s="787"/>
    </row>
    <row r="415" customHeight="1" spans="1:10">
      <c r="A415" s="769"/>
      <c r="B415" s="769"/>
      <c r="C415" s="770"/>
      <c r="D415" s="769"/>
      <c r="E415" s="769"/>
      <c r="F415" s="769"/>
      <c r="G415" s="769"/>
      <c r="I415" s="787"/>
      <c r="J415" s="787"/>
    </row>
    <row r="416" ht="15" spans="1:10">
      <c r="A416" s="771" t="s">
        <v>762</v>
      </c>
      <c r="B416" s="772"/>
      <c r="C416" s="772"/>
      <c r="D416" s="772"/>
      <c r="E416" s="773"/>
      <c r="F416" s="774">
        <f>ROUND(SUM(G10,G29,G68,G72,G139,G154,G159,G166,G192,G197,G401,G412,G265,G283,G292,G171,G207,G223,G253,G354,G380,G384,G200,G38,G393),2)</f>
        <v>637828.09</v>
      </c>
      <c r="G416" s="775"/>
      <c r="H416" s="169">
        <f>F416+F421</f>
        <v>700365.09</v>
      </c>
      <c r="I416" s="789">
        <f>F416*6/100</f>
        <v>38269.6854</v>
      </c>
      <c r="J416" s="787"/>
    </row>
    <row r="417" customHeight="1" spans="1:10">
      <c r="A417" s="771" t="s">
        <v>763</v>
      </c>
      <c r="B417" s="772"/>
      <c r="C417" s="772"/>
      <c r="D417" s="772"/>
      <c r="E417" s="773"/>
      <c r="F417" s="774">
        <f>ROUND(F416*(1+'PB IX - BDI'!I23),2)</f>
        <v>842060.64</v>
      </c>
      <c r="G417" s="775"/>
      <c r="I417" s="787"/>
      <c r="J417" s="787"/>
    </row>
    <row r="418" ht="15" spans="1:7">
      <c r="A418" s="769"/>
      <c r="B418" s="769"/>
      <c r="C418" s="770"/>
      <c r="D418" s="769"/>
      <c r="E418" s="769"/>
      <c r="F418" s="769"/>
      <c r="G418" s="769"/>
    </row>
    <row r="419" ht="15" spans="1:7">
      <c r="A419" s="672"/>
      <c r="B419" s="666">
        <v>26</v>
      </c>
      <c r="C419" s="671" t="s">
        <v>764</v>
      </c>
      <c r="D419" s="672"/>
      <c r="E419" s="692"/>
      <c r="F419" s="692"/>
      <c r="G419" s="674">
        <f>G420</f>
        <v>62537</v>
      </c>
    </row>
    <row r="420" ht="56.25" spans="1:7">
      <c r="A420" s="765" t="str">
        <f>'PB VII - Cotação'!A113</f>
        <v>COTAÇÃO 027</v>
      </c>
      <c r="B420" s="687" t="s">
        <v>765</v>
      </c>
      <c r="C420" s="696" t="s">
        <v>766</v>
      </c>
      <c r="D420" s="676" t="s">
        <v>21</v>
      </c>
      <c r="E420" s="349">
        <v>1</v>
      </c>
      <c r="F420" s="349">
        <f>'PB VII - Cotação'!F115</f>
        <v>62537</v>
      </c>
      <c r="G420" s="776">
        <f>ROUND(E420*F420,2)</f>
        <v>62537</v>
      </c>
    </row>
    <row r="421" ht="11.25" customHeight="1" spans="1:7">
      <c r="A421" s="771" t="s">
        <v>762</v>
      </c>
      <c r="B421" s="772"/>
      <c r="C421" s="772"/>
      <c r="D421" s="772"/>
      <c r="E421" s="773"/>
      <c r="F421" s="774">
        <f>ROUND(SUM(G420),2)</f>
        <v>62537</v>
      </c>
      <c r="G421" s="775"/>
    </row>
    <row r="422" customHeight="1" spans="1:7">
      <c r="A422" s="771" t="s">
        <v>767</v>
      </c>
      <c r="B422" s="772"/>
      <c r="C422" s="772"/>
      <c r="D422" s="772"/>
      <c r="E422" s="773"/>
      <c r="F422" s="774">
        <f>ROUND(F421*(1+'PB IX - BDI dif.'!I22),2)</f>
        <v>75625.99</v>
      </c>
      <c r="G422" s="775"/>
    </row>
    <row r="423" customHeight="1" spans="1:7">
      <c r="A423" s="777"/>
      <c r="B423" s="777"/>
      <c r="C423" s="778"/>
      <c r="D423" s="777"/>
      <c r="E423" s="777"/>
      <c r="F423" s="777"/>
      <c r="G423" s="777"/>
    </row>
    <row r="424" customHeight="1" spans="1:7">
      <c r="A424" s="771" t="s">
        <v>762</v>
      </c>
      <c r="B424" s="772"/>
      <c r="C424" s="772"/>
      <c r="D424" s="772"/>
      <c r="E424" s="773"/>
      <c r="F424" s="774">
        <f>ROUND(SUM(F422+F417),2)</f>
        <v>917686.63</v>
      </c>
      <c r="G424" s="775"/>
    </row>
    <row r="425" ht="35.25" customHeight="1" spans="1:7">
      <c r="A425" s="779" t="s">
        <v>768</v>
      </c>
      <c r="B425" s="780"/>
      <c r="C425" s="780"/>
      <c r="D425" s="780"/>
      <c r="E425" s="780"/>
      <c r="F425" s="780"/>
      <c r="G425" s="781"/>
    </row>
    <row r="426" customHeight="1" spans="1:7">
      <c r="A426" s="782"/>
      <c r="B426" s="782"/>
      <c r="C426" s="782"/>
      <c r="D426" s="782"/>
      <c r="E426" s="782"/>
      <c r="F426" s="782"/>
      <c r="G426" s="782"/>
    </row>
    <row r="427" customHeight="1" spans="1:7">
      <c r="A427" s="783" t="s">
        <v>769</v>
      </c>
      <c r="B427" s="783"/>
      <c r="C427" s="783"/>
      <c r="D427" s="783"/>
      <c r="E427" s="783"/>
      <c r="F427" s="783"/>
      <c r="G427" s="783"/>
    </row>
    <row r="428" customHeight="1" spans="1:7">
      <c r="A428" s="784"/>
      <c r="B428" s="784"/>
      <c r="C428" s="784"/>
      <c r="D428" s="784"/>
      <c r="E428" s="784"/>
      <c r="F428" s="784"/>
      <c r="G428" s="784"/>
    </row>
    <row r="429" customHeight="1" spans="3:7">
      <c r="C429" s="785"/>
      <c r="F429" s="344"/>
      <c r="G429" s="344"/>
    </row>
    <row r="430" customHeight="1" spans="3:3">
      <c r="C430" s="786"/>
    </row>
    <row r="431" customHeight="1" spans="3:3">
      <c r="C431" s="785"/>
    </row>
    <row r="432" customHeight="1" spans="3:3">
      <c r="C432" s="785"/>
    </row>
  </sheetData>
  <mergeCells count="16">
    <mergeCell ref="A2:G2"/>
    <mergeCell ref="A4:G4"/>
    <mergeCell ref="A7:C7"/>
    <mergeCell ref="D7:G7"/>
    <mergeCell ref="A416:E416"/>
    <mergeCell ref="F416:G416"/>
    <mergeCell ref="A417:E417"/>
    <mergeCell ref="F417:G417"/>
    <mergeCell ref="A421:E421"/>
    <mergeCell ref="F421:G421"/>
    <mergeCell ref="A422:E422"/>
    <mergeCell ref="F422:G422"/>
    <mergeCell ref="A424:E424"/>
    <mergeCell ref="F424:G424"/>
    <mergeCell ref="A425:G425"/>
    <mergeCell ref="A427:G427"/>
  </mergeCells>
  <printOptions horizontalCentered="1"/>
  <pageMargins left="0.393055555555556" right="0" top="1.57430555555556" bottom="0.393055555555556" header="0" footer="0"/>
  <pageSetup paperSize="9" scale="89" orientation="portrait"/>
  <headerFooter>
    <oddHeader>&amp;C&amp;9
&amp;15&amp;G&amp;12
DEFENSORIA PÚBLICA DO ESTADO DE RORAIMA
&amp;"Garamond,Itálico"“Amazônia: Patrimônio dos brasileiros”&amp;"-,Regular"&amp;9
____________________________________________________________________________________________________</oddHeader>
    <oddFooter>&amp;CPágina &amp;P de &amp;N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0000"/>
  </sheetPr>
  <dimension ref="A1:K97"/>
  <sheetViews>
    <sheetView view="pageBreakPreview" zoomScale="115" zoomScaleNormal="100" zoomScaleSheetLayoutView="115" workbookViewId="0">
      <selection activeCell="I89" sqref="I89"/>
    </sheetView>
  </sheetViews>
  <sheetFormatPr defaultColWidth="9.14285714285714" defaultRowHeight="15"/>
  <cols>
    <col min="1" max="1" width="5.85714285714286" style="589" customWidth="1"/>
    <col min="2" max="2" width="23.5714285714286" style="19" customWidth="1"/>
    <col min="3" max="5" width="9" style="19" customWidth="1"/>
    <col min="6" max="6" width="10" style="19" customWidth="1"/>
    <col min="7" max="7" width="9.42857142857143" style="590" customWidth="1"/>
    <col min="8" max="8" width="9.14285714285714" style="19"/>
    <col min="9" max="9" width="9.28571428571429" style="19"/>
    <col min="10" max="10" width="9.14285714285714" style="19"/>
  </cols>
  <sheetData>
    <row r="1" customHeight="1" spans="1:11">
      <c r="A1" s="591" t="s">
        <v>770</v>
      </c>
      <c r="B1" s="592"/>
      <c r="C1" s="592"/>
      <c r="D1" s="592"/>
      <c r="E1" s="592"/>
      <c r="F1" s="592"/>
      <c r="G1" s="592"/>
      <c r="H1" s="592"/>
      <c r="I1" s="592"/>
      <c r="J1" s="592"/>
      <c r="K1" s="632"/>
    </row>
    <row r="2" ht="3.6" customHeight="1" spans="1:11">
      <c r="A2" s="593"/>
      <c r="B2" s="594"/>
      <c r="C2" s="594"/>
      <c r="D2" s="594"/>
      <c r="E2" s="594"/>
      <c r="F2" s="594"/>
      <c r="G2" s="594"/>
      <c r="H2" s="594"/>
      <c r="I2" s="594"/>
      <c r="J2" s="594"/>
      <c r="K2" s="633"/>
    </row>
    <row r="3" ht="22.5" customHeight="1" spans="1:11">
      <c r="A3" s="595" t="str">
        <f>'PB III - Orçamento Sintetico'!A4:G4</f>
        <v>OBRA: CONSTRUÇÃO DA SEDE DA DEFENSORIA PÚBLICA DO ESTADO DE RORAIMA NO MUNICIPIO DE ALTO ALEGRE - DPE/RR</v>
      </c>
      <c r="B3" s="596"/>
      <c r="C3" s="596"/>
      <c r="D3" s="596"/>
      <c r="E3" s="596"/>
      <c r="F3" s="596"/>
      <c r="G3" s="596"/>
      <c r="H3" s="596"/>
      <c r="I3" s="596"/>
      <c r="J3" s="596"/>
      <c r="K3" s="634"/>
    </row>
    <row r="4" ht="3.75" customHeight="1" spans="1:11">
      <c r="A4" s="174"/>
      <c r="B4" s="174"/>
      <c r="C4" s="174"/>
      <c r="D4" s="174"/>
      <c r="E4" s="174"/>
      <c r="F4" s="174"/>
      <c r="G4" s="174"/>
      <c r="H4" s="174"/>
      <c r="I4" s="174"/>
      <c r="J4" s="174"/>
      <c r="K4" s="455"/>
    </row>
    <row r="5" ht="3" customHeight="1" spans="1:11">
      <c r="A5" s="593"/>
      <c r="B5" s="594"/>
      <c r="C5" s="594"/>
      <c r="D5" s="594"/>
      <c r="E5" s="594"/>
      <c r="F5" s="594"/>
      <c r="G5" s="594"/>
      <c r="H5" s="594"/>
      <c r="I5" s="594"/>
      <c r="J5" s="594"/>
      <c r="K5" s="633"/>
    </row>
    <row r="6" ht="13.5" customHeight="1" spans="1:11">
      <c r="A6" s="597" t="s">
        <v>5</v>
      </c>
      <c r="B6" s="598" t="s">
        <v>771</v>
      </c>
      <c r="C6" s="597" t="s">
        <v>772</v>
      </c>
      <c r="D6" s="597" t="s">
        <v>773</v>
      </c>
      <c r="E6" s="597" t="s">
        <v>774</v>
      </c>
      <c r="F6" s="597" t="s">
        <v>775</v>
      </c>
      <c r="G6" s="597" t="s">
        <v>776</v>
      </c>
      <c r="H6" s="597" t="s">
        <v>777</v>
      </c>
      <c r="I6" s="597" t="s">
        <v>778</v>
      </c>
      <c r="J6" s="597" t="s">
        <v>779</v>
      </c>
      <c r="K6" s="633"/>
    </row>
    <row r="7" ht="3.6" customHeight="1" spans="1:11">
      <c r="A7" s="599"/>
      <c r="B7" s="600"/>
      <c r="C7" s="600"/>
      <c r="D7" s="600"/>
      <c r="E7" s="600"/>
      <c r="F7" s="600"/>
      <c r="G7" s="600"/>
      <c r="H7" s="600"/>
      <c r="I7" s="600"/>
      <c r="J7" s="600"/>
      <c r="K7" s="633"/>
    </row>
    <row r="8" ht="11.25" customHeight="1" spans="1:11">
      <c r="A8" s="601">
        <v>1</v>
      </c>
      <c r="B8" s="602" t="s">
        <v>11</v>
      </c>
      <c r="C8" s="603">
        <v>0.9</v>
      </c>
      <c r="D8" s="604"/>
      <c r="E8" s="604"/>
      <c r="F8" s="604"/>
      <c r="G8" s="604"/>
      <c r="H8" s="604"/>
      <c r="I8" s="603">
        <v>0.1</v>
      </c>
      <c r="J8" s="635">
        <f>'PB III - Orçamento Sintetico'!G10</f>
        <v>23713.48</v>
      </c>
      <c r="K8" s="633"/>
    </row>
    <row r="9" ht="11.25" customHeight="1" spans="1:11">
      <c r="A9" s="601"/>
      <c r="B9" s="602"/>
      <c r="C9" s="605">
        <f>IF((C8*$J$8=0)," ",ROUND(C8*$J$8,2))</f>
        <v>21342.13</v>
      </c>
      <c r="D9" s="605" t="str">
        <f>IF((D8*$J$8=0)," ",ROUND(D8*$J$8,2))</f>
        <v> </v>
      </c>
      <c r="E9" s="605" t="str">
        <f>IF((E8*$J$8=0)," ",ROUND(E8*$J$8,2))</f>
        <v> </v>
      </c>
      <c r="F9" s="605" t="s">
        <v>780</v>
      </c>
      <c r="G9" s="605" t="s">
        <v>780</v>
      </c>
      <c r="H9" s="605" t="s">
        <v>780</v>
      </c>
      <c r="I9" s="605">
        <v>2371.35</v>
      </c>
      <c r="J9" s="636"/>
      <c r="K9" s="637"/>
    </row>
    <row r="10" ht="8.45" customHeight="1" spans="1:11">
      <c r="A10" s="601"/>
      <c r="B10" s="602"/>
      <c r="C10" s="606"/>
      <c r="D10" s="607"/>
      <c r="E10" s="607"/>
      <c r="F10" s="607"/>
      <c r="G10" s="607"/>
      <c r="H10" s="607"/>
      <c r="I10" s="606"/>
      <c r="J10" s="638"/>
      <c r="K10" s="633"/>
    </row>
    <row r="11" ht="11.25" customHeight="1" spans="1:11">
      <c r="A11" s="601">
        <v>2</v>
      </c>
      <c r="B11" s="602" t="s">
        <v>49</v>
      </c>
      <c r="C11" s="603">
        <v>1</v>
      </c>
      <c r="D11" s="604"/>
      <c r="E11" s="603"/>
      <c r="F11" s="604"/>
      <c r="G11" s="604"/>
      <c r="H11" s="604"/>
      <c r="I11" s="603"/>
      <c r="J11" s="639">
        <f>'PB III - Orçamento Sintetico'!G29</f>
        <v>6491.02</v>
      </c>
      <c r="K11" s="633"/>
    </row>
    <row r="12" ht="11.25" customHeight="1" spans="1:11">
      <c r="A12" s="601"/>
      <c r="B12" s="602"/>
      <c r="C12" s="605">
        <f>IF((C11*$J$11=0)," ",ROUND(C11*$J$11,2))</f>
        <v>6491.02</v>
      </c>
      <c r="D12" s="605" t="str">
        <f>IF((D11*$J$8=0)," ",ROUND(D11*$J$8,2))</f>
        <v> </v>
      </c>
      <c r="E12" s="605" t="str">
        <f>IF((E11*$J$11=0)," ",ROUND(E11*$J$11,2))</f>
        <v> </v>
      </c>
      <c r="F12" s="605" t="str">
        <f t="shared" ref="F12:H12" si="0">IF((F11*$J$8=0)," ",ROUND(F11*$J$8,2))</f>
        <v> </v>
      </c>
      <c r="G12" s="605" t="str">
        <f t="shared" si="0"/>
        <v> </v>
      </c>
      <c r="H12" s="605" t="str">
        <f t="shared" si="0"/>
        <v> </v>
      </c>
      <c r="I12" s="605" t="str">
        <f t="shared" ref="I12" si="1">IF((I11*$J$11=0)," ",ROUND(I11*$J$11,2))</f>
        <v> </v>
      </c>
      <c r="J12" s="640"/>
      <c r="K12" s="637"/>
    </row>
    <row r="13" ht="8.45" customHeight="1" spans="1:11">
      <c r="A13" s="601"/>
      <c r="B13" s="602"/>
      <c r="C13" s="606"/>
      <c r="D13" s="607"/>
      <c r="E13" s="608"/>
      <c r="F13" s="607"/>
      <c r="G13" s="607"/>
      <c r="H13" s="607"/>
      <c r="I13" s="608"/>
      <c r="J13" s="641"/>
      <c r="K13" s="633"/>
    </row>
    <row r="14" ht="11.25" customHeight="1" spans="1:11">
      <c r="A14" s="601">
        <v>3</v>
      </c>
      <c r="B14" s="602" t="s">
        <v>70</v>
      </c>
      <c r="C14" s="603">
        <v>0.2</v>
      </c>
      <c r="D14" s="603">
        <v>0.2</v>
      </c>
      <c r="E14" s="603">
        <v>0.2</v>
      </c>
      <c r="F14" s="603">
        <v>0.2</v>
      </c>
      <c r="G14" s="603">
        <v>0.2</v>
      </c>
      <c r="H14" s="603"/>
      <c r="I14" s="603"/>
      <c r="J14" s="639">
        <f>'PB III - Orçamento Sintetico'!G38</f>
        <v>45692.25</v>
      </c>
      <c r="K14" s="633"/>
    </row>
    <row r="15" ht="11.25" customHeight="1" spans="1:11">
      <c r="A15" s="601"/>
      <c r="B15" s="602"/>
      <c r="C15" s="609">
        <f>IF((C14*$J$14=0)," ",ROUND(C14*$J$14,2))</f>
        <v>9138.45</v>
      </c>
      <c r="D15" s="609">
        <f t="shared" ref="D15:G15" si="2">IF((D14*$J$14=0)," ",ROUND(D14*$J$14,2))</f>
        <v>9138.45</v>
      </c>
      <c r="E15" s="609">
        <f t="shared" si="2"/>
        <v>9138.45</v>
      </c>
      <c r="F15" s="609">
        <f t="shared" si="2"/>
        <v>9138.45</v>
      </c>
      <c r="G15" s="609">
        <f t="shared" si="2"/>
        <v>9138.45</v>
      </c>
      <c r="H15" s="605" t="str">
        <f t="shared" ref="H15:I15" si="3">IF((H14*$J$11=0)," ",ROUND(H14*$J$11,2))</f>
        <v> </v>
      </c>
      <c r="I15" s="605" t="str">
        <f t="shared" si="3"/>
        <v> </v>
      </c>
      <c r="J15" s="640"/>
      <c r="K15" s="633"/>
    </row>
    <row r="16" ht="8.45" customHeight="1" spans="1:11">
      <c r="A16" s="601"/>
      <c r="B16" s="602"/>
      <c r="C16" s="606"/>
      <c r="D16" s="606"/>
      <c r="E16" s="606"/>
      <c r="F16" s="606"/>
      <c r="G16" s="606"/>
      <c r="H16" s="608"/>
      <c r="I16" s="608"/>
      <c r="J16" s="641"/>
      <c r="K16" s="633"/>
    </row>
    <row r="17" ht="11.25" customHeight="1" spans="1:11">
      <c r="A17" s="601">
        <v>4</v>
      </c>
      <c r="B17" s="602" t="s">
        <v>128</v>
      </c>
      <c r="C17" s="603">
        <v>0.2</v>
      </c>
      <c r="D17" s="610">
        <v>0.8</v>
      </c>
      <c r="E17" s="603"/>
      <c r="F17" s="603"/>
      <c r="G17" s="603"/>
      <c r="H17" s="603"/>
      <c r="I17" s="603"/>
      <c r="J17" s="639">
        <f>'PB III - Orçamento Sintetico'!G68</f>
        <v>8304.8</v>
      </c>
      <c r="K17" s="633"/>
    </row>
    <row r="18" ht="11.25" customHeight="1" spans="1:11">
      <c r="A18" s="601"/>
      <c r="B18" s="602"/>
      <c r="C18" s="605">
        <f>IF((C17*$J$17=0)," ",ROUND(C17*$J$17,2))</f>
        <v>1660.96</v>
      </c>
      <c r="D18" s="605">
        <f>IF((D17*$J$17=0)," ",ROUND(D17*$J$17,2))</f>
        <v>6643.84</v>
      </c>
      <c r="E18" s="605" t="s">
        <v>780</v>
      </c>
      <c r="F18" s="605" t="s">
        <v>780</v>
      </c>
      <c r="G18" s="605" t="s">
        <v>780</v>
      </c>
      <c r="H18" s="605" t="s">
        <v>780</v>
      </c>
      <c r="I18" s="605" t="s">
        <v>780</v>
      </c>
      <c r="J18" s="640"/>
      <c r="K18" s="637"/>
    </row>
    <row r="19" ht="8.45" customHeight="1" spans="1:11">
      <c r="A19" s="601"/>
      <c r="B19" s="602"/>
      <c r="C19" s="611"/>
      <c r="D19" s="611"/>
      <c r="E19" s="608"/>
      <c r="F19" s="608"/>
      <c r="G19" s="608"/>
      <c r="H19" s="608"/>
      <c r="I19" s="608"/>
      <c r="J19" s="641"/>
      <c r="K19" s="633"/>
    </row>
    <row r="20" ht="11.25" customHeight="1" spans="1:11">
      <c r="A20" s="601">
        <v>5</v>
      </c>
      <c r="B20" s="602" t="s">
        <v>781</v>
      </c>
      <c r="C20" s="603"/>
      <c r="D20" s="610">
        <v>0.3</v>
      </c>
      <c r="E20" s="610">
        <v>0.3</v>
      </c>
      <c r="F20" s="612">
        <v>0.2</v>
      </c>
      <c r="G20" s="612">
        <v>0.2</v>
      </c>
      <c r="H20" s="612"/>
      <c r="I20" s="612"/>
      <c r="J20" s="639">
        <f>'PB III - Orçamento Sintetico'!G72</f>
        <v>132362.03</v>
      </c>
      <c r="K20" s="633"/>
    </row>
    <row r="21" ht="11.25" customHeight="1" spans="1:11">
      <c r="A21" s="601"/>
      <c r="B21" s="602"/>
      <c r="C21" s="605" t="str">
        <f>IF((C20*$J$20=0)," ",ROUND(C20*$J$20,2))</f>
        <v> </v>
      </c>
      <c r="D21" s="605">
        <f>IF((D20*$J$20=0)," ",ROUND(D20*$J$20,2))</f>
        <v>39708.61</v>
      </c>
      <c r="E21" s="605">
        <f>IF((E20*$J$20=0)," ",ROUND(E20*$J$20,2))</f>
        <v>39708.61</v>
      </c>
      <c r="F21" s="605">
        <f>IF((F20*$J$20=0)," ",ROUND(F20*$J$20,2))</f>
        <v>26472.41</v>
      </c>
      <c r="G21" s="605">
        <f>IF((G20*$J$20=0)," ",ROUND(G20*$J$20,2))</f>
        <v>26472.41</v>
      </c>
      <c r="H21" s="613"/>
      <c r="I21" s="613"/>
      <c r="J21" s="640"/>
      <c r="K21" s="637"/>
    </row>
    <row r="22" ht="8.45" customHeight="1" spans="1:11">
      <c r="A22" s="601"/>
      <c r="B22" s="602"/>
      <c r="C22" s="614"/>
      <c r="D22" s="611"/>
      <c r="E22" s="611"/>
      <c r="F22" s="611"/>
      <c r="G22" s="611"/>
      <c r="H22" s="615"/>
      <c r="I22" s="615"/>
      <c r="J22" s="641"/>
      <c r="K22" s="633"/>
    </row>
    <row r="23" ht="11.25" customHeight="1" spans="1:11">
      <c r="A23" s="601">
        <v>6</v>
      </c>
      <c r="B23" s="602" t="s">
        <v>782</v>
      </c>
      <c r="C23" s="603"/>
      <c r="D23" s="610">
        <v>0.1</v>
      </c>
      <c r="E23" s="610">
        <v>0.4</v>
      </c>
      <c r="F23" s="610">
        <v>0.4</v>
      </c>
      <c r="G23" s="610">
        <v>0.1</v>
      </c>
      <c r="H23" s="612"/>
      <c r="I23" s="612"/>
      <c r="J23" s="639">
        <f>'PB III - Orçamento Sintetico'!G139</f>
        <v>37772.64</v>
      </c>
      <c r="K23" s="633"/>
    </row>
    <row r="24" ht="11.25" customHeight="1" spans="1:11">
      <c r="A24" s="601"/>
      <c r="B24" s="602"/>
      <c r="C24" s="605" t="str">
        <f>IF((C23*$J$23=0)," ",ROUND(C23*$J$23,2))</f>
        <v> </v>
      </c>
      <c r="D24" s="605">
        <f>IF((D23*$J$23=0)," ",ROUND(D23*$J$23,2))</f>
        <v>3777.26</v>
      </c>
      <c r="E24" s="605">
        <f>IF((E23*$J$23=0)," ",ROUND(E23*$J$23,2))</f>
        <v>15109.06</v>
      </c>
      <c r="F24" s="605">
        <f>IF((F23*$J$23=0)," ",ROUND(F23*$J$23,2))</f>
        <v>15109.06</v>
      </c>
      <c r="G24" s="605">
        <f>IF((G23*$J$23=0)," ",ROUND(G23*$J$23,2))</f>
        <v>3777.26</v>
      </c>
      <c r="H24" s="613"/>
      <c r="I24" s="613"/>
      <c r="J24" s="640"/>
      <c r="K24" s="637"/>
    </row>
    <row r="25" ht="8.45" customHeight="1" spans="1:11">
      <c r="A25" s="601"/>
      <c r="B25" s="602"/>
      <c r="C25" s="614"/>
      <c r="D25" s="611"/>
      <c r="E25" s="611"/>
      <c r="F25" s="611"/>
      <c r="G25" s="611"/>
      <c r="H25" s="615"/>
      <c r="I25" s="615"/>
      <c r="J25" s="641"/>
      <c r="K25" s="633"/>
    </row>
    <row r="26" ht="11.25" customHeight="1" spans="1:11">
      <c r="A26" s="601">
        <v>7</v>
      </c>
      <c r="B26" s="602" t="s">
        <v>783</v>
      </c>
      <c r="C26" s="603"/>
      <c r="D26" s="610"/>
      <c r="E26" s="610">
        <v>0.4</v>
      </c>
      <c r="F26" s="610">
        <v>0.4</v>
      </c>
      <c r="G26" s="610">
        <v>0.2</v>
      </c>
      <c r="H26" s="612"/>
      <c r="I26" s="612"/>
      <c r="J26" s="639">
        <f>'PB III - Orçamento Sintetico'!G154</f>
        <v>36891.48</v>
      </c>
      <c r="K26" s="633"/>
    </row>
    <row r="27" ht="11.25" customHeight="1" spans="1:11">
      <c r="A27" s="601"/>
      <c r="B27" s="602"/>
      <c r="C27" s="605" t="str">
        <f>IF((C26*$J$26=0)," ",ROUND(C26*$J$26,2))</f>
        <v> </v>
      </c>
      <c r="D27" s="605" t="str">
        <f>IF((D26*$J$26=0)," ",ROUND(D26*$J$26,2))</f>
        <v> </v>
      </c>
      <c r="E27" s="605">
        <f>IF((E26*$J$26=0)," ",ROUND(E26*$J$26,2))</f>
        <v>14756.59</v>
      </c>
      <c r="F27" s="605">
        <f>IF((F26*$J$26=0)," ",ROUND(F26*$J$26,2))</f>
        <v>14756.59</v>
      </c>
      <c r="G27" s="605">
        <f>IF((G26*$J$26=0)," ",ROUND(G26*$J$26,2))</f>
        <v>7378.3</v>
      </c>
      <c r="H27" s="613"/>
      <c r="I27" s="613"/>
      <c r="J27" s="640"/>
      <c r="K27" s="637"/>
    </row>
    <row r="28" ht="8.45" customHeight="1" spans="1:11">
      <c r="A28" s="601"/>
      <c r="B28" s="602"/>
      <c r="C28" s="614"/>
      <c r="D28" s="615"/>
      <c r="E28" s="611"/>
      <c r="F28" s="611"/>
      <c r="G28" s="611"/>
      <c r="H28" s="615"/>
      <c r="I28" s="615"/>
      <c r="J28" s="641"/>
      <c r="K28" s="633"/>
    </row>
    <row r="29" ht="11.25" customHeight="1" spans="1:11">
      <c r="A29" s="601">
        <v>8</v>
      </c>
      <c r="B29" s="616" t="s">
        <v>286</v>
      </c>
      <c r="C29" s="603"/>
      <c r="D29" s="610"/>
      <c r="E29" s="610">
        <v>0.1</v>
      </c>
      <c r="F29" s="610">
        <v>0.3</v>
      </c>
      <c r="G29" s="610">
        <v>0.3</v>
      </c>
      <c r="H29" s="610">
        <v>0.2</v>
      </c>
      <c r="I29" s="610">
        <v>0.1</v>
      </c>
      <c r="J29" s="639">
        <f>'PB III - Orçamento Sintetico'!G159</f>
        <v>42143.63</v>
      </c>
      <c r="K29" s="633"/>
    </row>
    <row r="30" ht="11.25" customHeight="1" spans="1:11">
      <c r="A30" s="601"/>
      <c r="B30" s="617"/>
      <c r="C30" s="605" t="str">
        <f t="shared" ref="C30:I30" si="4">IF((C29*$J$29=0)," ",ROUND(C29*$J$29,2))</f>
        <v> </v>
      </c>
      <c r="D30" s="605" t="str">
        <f t="shared" si="4"/>
        <v> </v>
      </c>
      <c r="E30" s="605">
        <f t="shared" si="4"/>
        <v>4214.36</v>
      </c>
      <c r="F30" s="605">
        <f t="shared" si="4"/>
        <v>12643.09</v>
      </c>
      <c r="G30" s="605">
        <f t="shared" si="4"/>
        <v>12643.09</v>
      </c>
      <c r="H30" s="605">
        <f t="shared" si="4"/>
        <v>8428.73</v>
      </c>
      <c r="I30" s="605">
        <f t="shared" si="4"/>
        <v>4214.36</v>
      </c>
      <c r="J30" s="640"/>
      <c r="K30" s="637"/>
    </row>
    <row r="31" ht="8.45" customHeight="1" spans="1:11">
      <c r="A31" s="601"/>
      <c r="B31" s="618"/>
      <c r="C31" s="615"/>
      <c r="D31" s="615"/>
      <c r="E31" s="611"/>
      <c r="F31" s="611"/>
      <c r="G31" s="611"/>
      <c r="H31" s="611"/>
      <c r="I31" s="611"/>
      <c r="J31" s="641"/>
      <c r="K31" s="633"/>
    </row>
    <row r="32" ht="11.25" customHeight="1" spans="1:11">
      <c r="A32" s="601">
        <v>9</v>
      </c>
      <c r="B32" s="616" t="s">
        <v>297</v>
      </c>
      <c r="C32" s="603"/>
      <c r="D32" s="603"/>
      <c r="E32" s="603"/>
      <c r="F32" s="603">
        <v>0.2</v>
      </c>
      <c r="G32" s="610">
        <v>0.4</v>
      </c>
      <c r="H32" s="610">
        <v>0.2</v>
      </c>
      <c r="I32" s="610">
        <v>0.2</v>
      </c>
      <c r="J32" s="639">
        <f>'PB III - Orçamento Sintetico'!G166</f>
        <v>21072.99</v>
      </c>
      <c r="K32" s="633"/>
    </row>
    <row r="33" ht="11.25" customHeight="1" spans="1:11">
      <c r="A33" s="601"/>
      <c r="B33" s="617"/>
      <c r="C33" s="605" t="str">
        <f t="shared" ref="C33:E33" si="5">IF((C32*$J$29=0)," ",ROUND(C32*$J$29,2))</f>
        <v> </v>
      </c>
      <c r="D33" s="605" t="str">
        <f t="shared" si="5"/>
        <v> </v>
      </c>
      <c r="E33" s="605" t="str">
        <f t="shared" si="5"/>
        <v> </v>
      </c>
      <c r="F33" s="605">
        <f>IF((F32*$J$32=0)," ",ROUND(F32*$J$32,2))</f>
        <v>4214.6</v>
      </c>
      <c r="G33" s="605">
        <f>IF((G32*$J$32=0)," ",ROUND(G32*$J$32,2))</f>
        <v>8429.2</v>
      </c>
      <c r="H33" s="605">
        <f>IF((H32*$J$32=0)," ",ROUND(H32*$J$32,2))</f>
        <v>4214.6</v>
      </c>
      <c r="I33" s="605">
        <f>IF((I32*$J$32=0)," ",ROUND(I32*$J$32,2))</f>
        <v>4214.6</v>
      </c>
      <c r="J33" s="640"/>
      <c r="K33" s="637"/>
    </row>
    <row r="34" ht="8.45" customHeight="1" spans="1:11">
      <c r="A34" s="601"/>
      <c r="B34" s="618"/>
      <c r="C34" s="615"/>
      <c r="D34" s="615"/>
      <c r="E34" s="615"/>
      <c r="F34" s="611"/>
      <c r="G34" s="611"/>
      <c r="H34" s="611"/>
      <c r="I34" s="611"/>
      <c r="J34" s="641"/>
      <c r="K34" s="633"/>
    </row>
    <row r="35" ht="11.25" customHeight="1" spans="1:11">
      <c r="A35" s="601">
        <v>10</v>
      </c>
      <c r="B35" s="619" t="s">
        <v>784</v>
      </c>
      <c r="C35" s="603"/>
      <c r="D35" s="603"/>
      <c r="E35" s="603"/>
      <c r="F35" s="610">
        <v>0.25</v>
      </c>
      <c r="G35" s="610">
        <v>0.25</v>
      </c>
      <c r="H35" s="610">
        <v>0.25</v>
      </c>
      <c r="I35" s="610">
        <v>0.25</v>
      </c>
      <c r="J35" s="639">
        <f>'PB III - Orçamento Sintetico'!G171</f>
        <v>28657.22</v>
      </c>
      <c r="K35" s="633"/>
    </row>
    <row r="36" ht="11.25" customHeight="1" spans="1:11">
      <c r="A36" s="601"/>
      <c r="B36" s="620"/>
      <c r="C36" s="605" t="str">
        <f t="shared" ref="C36:E36" si="6">IF((C35*$J$29=0)," ",ROUND(C35*$J$29,2))</f>
        <v> </v>
      </c>
      <c r="D36" s="605" t="str">
        <f t="shared" si="6"/>
        <v> </v>
      </c>
      <c r="E36" s="605" t="str">
        <f t="shared" si="6"/>
        <v> </v>
      </c>
      <c r="F36" s="605">
        <f>IF((F35*$J$35=0)," ",ROUND(F35*$J$35,2))</f>
        <v>7164.31</v>
      </c>
      <c r="G36" s="605">
        <f>IF((G35*$J$35=0)," ",ROUND(G35*$J$35,2))</f>
        <v>7164.31</v>
      </c>
      <c r="H36" s="605">
        <f>IF((H35*$J$35=0)," ",ROUND(H35*$J$35,2))</f>
        <v>7164.31</v>
      </c>
      <c r="I36" s="605">
        <f>IF((I35*$J$35=0)," ",ROUND(I35*$J$35,2))</f>
        <v>7164.31</v>
      </c>
      <c r="J36" s="640"/>
      <c r="K36" s="637"/>
    </row>
    <row r="37" ht="8.45" customHeight="1" spans="1:11">
      <c r="A37" s="601"/>
      <c r="B37" s="621"/>
      <c r="C37" s="615"/>
      <c r="D37" s="615"/>
      <c r="E37" s="615"/>
      <c r="F37" s="611"/>
      <c r="G37" s="611"/>
      <c r="H37" s="611"/>
      <c r="I37" s="611"/>
      <c r="J37" s="641"/>
      <c r="K37" s="633"/>
    </row>
    <row r="38" s="588" customFormat="1" ht="10.5" customHeight="1" spans="1:11">
      <c r="A38" s="601">
        <v>11</v>
      </c>
      <c r="B38" s="622" t="s">
        <v>785</v>
      </c>
      <c r="C38" s="603"/>
      <c r="D38" s="603"/>
      <c r="E38" s="603"/>
      <c r="F38" s="603">
        <v>0.25</v>
      </c>
      <c r="G38" s="603">
        <v>0.25</v>
      </c>
      <c r="H38" s="603">
        <v>0.25</v>
      </c>
      <c r="I38" s="603">
        <v>0.25</v>
      </c>
      <c r="J38" s="639">
        <f>'PB III - Orçamento Sintetico'!G192</f>
        <v>5190.66</v>
      </c>
      <c r="K38" s="633"/>
    </row>
    <row r="39" s="588" customFormat="1" ht="12" customHeight="1" spans="1:11">
      <c r="A39" s="601"/>
      <c r="B39" s="622"/>
      <c r="C39" s="605" t="str">
        <f t="shared" ref="C39:E39" si="7">IF((C38*$J$29=0)," ",ROUND(C38*$J$29,2))</f>
        <v> </v>
      </c>
      <c r="D39" s="605" t="str">
        <f t="shared" si="7"/>
        <v> </v>
      </c>
      <c r="E39" s="605" t="str">
        <f t="shared" si="7"/>
        <v> </v>
      </c>
      <c r="F39" s="605">
        <f>IF((F38*$J$38=0)," ",ROUND(F38*$J$38,2))</f>
        <v>1297.67</v>
      </c>
      <c r="G39" s="605">
        <f t="shared" ref="G39:I39" si="8">IF((G38*$J$38=0)," ",ROUND(G38*$J$38,2))</f>
        <v>1297.67</v>
      </c>
      <c r="H39" s="605">
        <f t="shared" si="8"/>
        <v>1297.67</v>
      </c>
      <c r="I39" s="605">
        <f t="shared" si="8"/>
        <v>1297.67</v>
      </c>
      <c r="J39" s="640"/>
      <c r="K39" s="637"/>
    </row>
    <row r="40" s="588" customFormat="1" ht="9.75" customHeight="1" spans="1:11">
      <c r="A40" s="601"/>
      <c r="B40" s="622"/>
      <c r="C40" s="615"/>
      <c r="D40" s="615"/>
      <c r="E40" s="615"/>
      <c r="F40" s="623"/>
      <c r="G40" s="623"/>
      <c r="H40" s="623"/>
      <c r="I40" s="623"/>
      <c r="J40" s="641"/>
      <c r="K40" s="633"/>
    </row>
    <row r="41" spans="1:11">
      <c r="A41" s="601">
        <v>12</v>
      </c>
      <c r="B41" s="624" t="s">
        <v>356</v>
      </c>
      <c r="C41" s="603"/>
      <c r="D41" s="603"/>
      <c r="E41" s="603"/>
      <c r="F41" s="625">
        <v>0.4</v>
      </c>
      <c r="G41" s="626">
        <v>0.3</v>
      </c>
      <c r="H41" s="626">
        <v>0.3</v>
      </c>
      <c r="I41" s="642"/>
      <c r="J41" s="639">
        <f>'PB III - Orçamento Sintetico'!G197</f>
        <v>17106.01</v>
      </c>
      <c r="K41" s="643"/>
    </row>
    <row r="42" spans="1:11">
      <c r="A42" s="601"/>
      <c r="B42" s="627"/>
      <c r="C42" s="605" t="str">
        <f t="shared" ref="C42:E42" si="9">IF((C41*$J$29=0)," ",ROUND(C41*$J$29,2))</f>
        <v> </v>
      </c>
      <c r="D42" s="605" t="str">
        <f t="shared" si="9"/>
        <v> </v>
      </c>
      <c r="E42" s="605" t="str">
        <f t="shared" si="9"/>
        <v> </v>
      </c>
      <c r="F42" s="628">
        <f>IF((F41*$J$41=0)," ",ROUND(F41*$J$41,2))</f>
        <v>6842.4</v>
      </c>
      <c r="G42" s="628">
        <f>IF((G41*$J$41=0)," ",ROUND(G41*$J$41,2))</f>
        <v>5131.8</v>
      </c>
      <c r="H42" s="628">
        <f>IF((H41*$J$41=0)," ",ROUND(H41*$J$41,2))</f>
        <v>5131.8</v>
      </c>
      <c r="I42" s="644"/>
      <c r="J42" s="640"/>
      <c r="K42" s="643"/>
    </row>
    <row r="43" ht="9" customHeight="1" spans="1:11">
      <c r="A43" s="601"/>
      <c r="B43" s="629"/>
      <c r="C43" s="615"/>
      <c r="D43" s="615"/>
      <c r="E43" s="615"/>
      <c r="F43" s="630"/>
      <c r="G43" s="630"/>
      <c r="H43" s="630"/>
      <c r="I43" s="645"/>
      <c r="J43" s="641"/>
      <c r="K43" s="643"/>
    </row>
    <row r="44" customHeight="1" spans="1:11">
      <c r="A44" s="601">
        <v>13</v>
      </c>
      <c r="B44" s="622" t="s">
        <v>360</v>
      </c>
      <c r="C44" s="603"/>
      <c r="D44" s="603"/>
      <c r="E44" s="603"/>
      <c r="F44" s="625">
        <v>0.3</v>
      </c>
      <c r="G44" s="626">
        <v>0.3</v>
      </c>
      <c r="H44" s="626">
        <v>0.2</v>
      </c>
      <c r="I44" s="626">
        <v>0.2</v>
      </c>
      <c r="J44" s="639">
        <f>'PB III - Orçamento Sintetico'!G200</f>
        <v>20938.3</v>
      </c>
      <c r="K44" s="633"/>
    </row>
    <row r="45" spans="1:11">
      <c r="A45" s="601"/>
      <c r="B45" s="622"/>
      <c r="C45" s="605" t="str">
        <f t="shared" ref="C45:E45" si="10">IF((C44*$J$29=0)," ",ROUND(C44*$J$29,2))</f>
        <v> </v>
      </c>
      <c r="D45" s="605" t="str">
        <f t="shared" si="10"/>
        <v> </v>
      </c>
      <c r="E45" s="605" t="str">
        <f t="shared" si="10"/>
        <v> </v>
      </c>
      <c r="F45" s="628">
        <f>IF((F44*$J$44=0)," ",ROUND(F44*$J$44,2))</f>
        <v>6281.49</v>
      </c>
      <c r="G45" s="628">
        <f>IF((G44*$J$44=0)," ",ROUND(G44*$J$44,2))</f>
        <v>6281.49</v>
      </c>
      <c r="H45" s="628">
        <f>IF((H44*$J$44=0)," ",ROUND(H44*$J$44,2))</f>
        <v>4187.66</v>
      </c>
      <c r="I45" s="628">
        <f>IF((I44*$J$44=0)," ",ROUND(I44*$J$44,2))</f>
        <v>4187.66</v>
      </c>
      <c r="J45" s="640"/>
      <c r="K45" s="633"/>
    </row>
    <row r="46" ht="9" customHeight="1" spans="1:11">
      <c r="A46" s="601"/>
      <c r="B46" s="622"/>
      <c r="C46" s="615"/>
      <c r="D46" s="615"/>
      <c r="E46" s="615"/>
      <c r="F46" s="630"/>
      <c r="G46" s="630"/>
      <c r="H46" s="630"/>
      <c r="I46" s="630"/>
      <c r="J46" s="641"/>
      <c r="K46" s="633"/>
    </row>
    <row r="47" spans="1:11">
      <c r="A47" s="601">
        <v>14</v>
      </c>
      <c r="B47" s="631" t="s">
        <v>373</v>
      </c>
      <c r="C47" s="603"/>
      <c r="D47" s="603"/>
      <c r="E47" s="625">
        <v>0.2</v>
      </c>
      <c r="F47" s="625">
        <v>0.2</v>
      </c>
      <c r="G47" s="625">
        <v>0.2</v>
      </c>
      <c r="H47" s="625">
        <v>0.2</v>
      </c>
      <c r="I47" s="625">
        <v>0.2</v>
      </c>
      <c r="J47" s="639">
        <f>'PB III - Orçamento Sintetico'!G207</f>
        <v>3471.63</v>
      </c>
      <c r="K47" s="633"/>
    </row>
    <row r="48" spans="1:11">
      <c r="A48" s="601"/>
      <c r="B48" s="631"/>
      <c r="C48" s="605" t="str">
        <f t="shared" ref="C48:D48" si="11">IF((C47*$J$29=0)," ",ROUND(C47*$J$29,2))</f>
        <v> </v>
      </c>
      <c r="D48" s="605" t="str">
        <f t="shared" si="11"/>
        <v> </v>
      </c>
      <c r="E48" s="628">
        <f>IF((E47*$J$47=0)," ",ROUND(E47*$J$47,2))</f>
        <v>694.33</v>
      </c>
      <c r="F48" s="628">
        <f t="shared" ref="F48:I48" si="12">IF((F47*$J$47=0)," ",ROUND(F47*$J$47,2))</f>
        <v>694.33</v>
      </c>
      <c r="G48" s="628">
        <f t="shared" si="12"/>
        <v>694.33</v>
      </c>
      <c r="H48" s="628">
        <f t="shared" si="12"/>
        <v>694.33</v>
      </c>
      <c r="I48" s="628">
        <f t="shared" si="12"/>
        <v>694.33</v>
      </c>
      <c r="J48" s="640"/>
      <c r="K48" s="633"/>
    </row>
    <row r="49" ht="9.75" customHeight="1" spans="1:11">
      <c r="A49" s="601"/>
      <c r="B49" s="631"/>
      <c r="C49" s="615"/>
      <c r="D49" s="615"/>
      <c r="E49" s="630"/>
      <c r="F49" s="630"/>
      <c r="G49" s="630"/>
      <c r="H49" s="630"/>
      <c r="I49" s="630"/>
      <c r="J49" s="641"/>
      <c r="K49" s="633"/>
    </row>
    <row r="50" spans="1:11">
      <c r="A50" s="601">
        <v>15</v>
      </c>
      <c r="B50" s="622" t="s">
        <v>786</v>
      </c>
      <c r="C50" s="603"/>
      <c r="D50" s="603"/>
      <c r="E50" s="625">
        <v>0.2</v>
      </c>
      <c r="F50" s="625">
        <v>0.2</v>
      </c>
      <c r="G50" s="625">
        <v>0.2</v>
      </c>
      <c r="H50" s="625">
        <v>0.2</v>
      </c>
      <c r="I50" s="625">
        <v>0.2</v>
      </c>
      <c r="J50" s="639">
        <f>'PB III - Orçamento Sintetico'!G223</f>
        <v>3535.63</v>
      </c>
      <c r="K50" s="633"/>
    </row>
    <row r="51" spans="1:11">
      <c r="A51" s="601"/>
      <c r="B51" s="622"/>
      <c r="C51" s="605" t="str">
        <f t="shared" ref="C51:F54" si="13">IF((C50*$J$29=0)," ",ROUND(C50*$J$29,2))</f>
        <v> </v>
      </c>
      <c r="D51" s="605" t="str">
        <f t="shared" si="13"/>
        <v> </v>
      </c>
      <c r="E51" s="628">
        <f t="shared" ref="E51:I51" si="14">IF((E50*$J$50=0)," ",ROUND(E50*$J$50,2))</f>
        <v>707.13</v>
      </c>
      <c r="F51" s="628">
        <f t="shared" si="14"/>
        <v>707.13</v>
      </c>
      <c r="G51" s="628">
        <f t="shared" si="14"/>
        <v>707.13</v>
      </c>
      <c r="H51" s="628">
        <f t="shared" si="14"/>
        <v>707.13</v>
      </c>
      <c r="I51" s="628">
        <f t="shared" si="14"/>
        <v>707.13</v>
      </c>
      <c r="J51" s="640"/>
      <c r="K51" s="633"/>
    </row>
    <row r="52" ht="9" customHeight="1" spans="1:11">
      <c r="A52" s="601"/>
      <c r="B52" s="622"/>
      <c r="C52" s="615"/>
      <c r="D52" s="615"/>
      <c r="E52" s="630"/>
      <c r="F52" s="630"/>
      <c r="G52" s="630"/>
      <c r="H52" s="630"/>
      <c r="I52" s="630"/>
      <c r="J52" s="641"/>
      <c r="K52" s="633"/>
    </row>
    <row r="53" customHeight="1" spans="1:11">
      <c r="A53" s="601">
        <v>16</v>
      </c>
      <c r="B53" s="622" t="s">
        <v>465</v>
      </c>
      <c r="C53" s="603"/>
      <c r="D53" s="603"/>
      <c r="E53" s="603"/>
      <c r="F53" s="603"/>
      <c r="G53" s="626">
        <v>0.2</v>
      </c>
      <c r="H53" s="626">
        <v>0.4</v>
      </c>
      <c r="I53" s="626">
        <v>0.4</v>
      </c>
      <c r="J53" s="639">
        <f>'PB III - Orçamento Sintetico'!G253</f>
        <v>7240.6</v>
      </c>
      <c r="K53" s="633"/>
    </row>
    <row r="54" spans="1:11">
      <c r="A54" s="601"/>
      <c r="B54" s="622"/>
      <c r="C54" s="605" t="str">
        <f t="shared" ref="C54:E54" si="15">IF((C53*$J$29=0)," ",ROUND(C53*$J$29,2))</f>
        <v> </v>
      </c>
      <c r="D54" s="605" t="str">
        <f t="shared" si="15"/>
        <v> </v>
      </c>
      <c r="E54" s="605" t="str">
        <f t="shared" si="15"/>
        <v> </v>
      </c>
      <c r="F54" s="605" t="str">
        <f t="shared" si="13"/>
        <v> </v>
      </c>
      <c r="G54" s="628">
        <f t="shared" ref="G54:I54" si="16">IF((G53*$J$53=0)," ",ROUND(G53*$J$53,2))</f>
        <v>1448.12</v>
      </c>
      <c r="H54" s="628">
        <f t="shared" si="16"/>
        <v>2896.24</v>
      </c>
      <c r="I54" s="628">
        <f t="shared" si="16"/>
        <v>2896.24</v>
      </c>
      <c r="J54" s="640"/>
      <c r="K54" s="633"/>
    </row>
    <row r="55" ht="7.5" customHeight="1" spans="1:11">
      <c r="A55" s="601"/>
      <c r="B55" s="622"/>
      <c r="C55" s="615"/>
      <c r="D55" s="615"/>
      <c r="E55" s="615"/>
      <c r="F55" s="615"/>
      <c r="G55" s="630"/>
      <c r="H55" s="630"/>
      <c r="I55" s="630"/>
      <c r="J55" s="641"/>
      <c r="K55" s="633"/>
    </row>
    <row r="56" ht="11.25" customHeight="1" spans="1:11">
      <c r="A56" s="601">
        <v>17</v>
      </c>
      <c r="B56" s="622" t="s">
        <v>787</v>
      </c>
      <c r="C56" s="603"/>
      <c r="D56" s="603"/>
      <c r="E56" s="603"/>
      <c r="F56" s="625">
        <v>0.2</v>
      </c>
      <c r="G56" s="625">
        <v>0.25</v>
      </c>
      <c r="H56" s="625">
        <v>0.25</v>
      </c>
      <c r="I56" s="625">
        <v>0.3</v>
      </c>
      <c r="J56" s="639">
        <f>'PB III - Orçamento Sintetico'!G265</f>
        <v>13079.82</v>
      </c>
      <c r="K56" s="633"/>
    </row>
    <row r="57" ht="11.25" customHeight="1" spans="1:11">
      <c r="A57" s="601"/>
      <c r="B57" s="622"/>
      <c r="C57" s="605" t="str">
        <f t="shared" ref="C57:E57" si="17">IF((C56*$J$29=0)," ",ROUND(C56*$J$29,2))</f>
        <v> </v>
      </c>
      <c r="D57" s="605" t="str">
        <f t="shared" si="17"/>
        <v> </v>
      </c>
      <c r="E57" s="605" t="str">
        <f t="shared" si="17"/>
        <v> </v>
      </c>
      <c r="F57" s="628">
        <f t="shared" ref="F57:I57" si="18">IF((F56*$J$56=0)," ",ROUND(F56*$J$56,2))</f>
        <v>2615.96</v>
      </c>
      <c r="G57" s="628">
        <f t="shared" si="18"/>
        <v>3269.96</v>
      </c>
      <c r="H57" s="628">
        <f t="shared" si="18"/>
        <v>3269.96</v>
      </c>
      <c r="I57" s="628">
        <f t="shared" si="18"/>
        <v>3923.95</v>
      </c>
      <c r="J57" s="640"/>
      <c r="K57" s="633"/>
    </row>
    <row r="58" ht="11.25" customHeight="1" spans="1:11">
      <c r="A58" s="601"/>
      <c r="B58" s="622"/>
      <c r="C58" s="615"/>
      <c r="D58" s="615"/>
      <c r="E58" s="615"/>
      <c r="F58" s="630"/>
      <c r="G58" s="630"/>
      <c r="H58" s="630"/>
      <c r="I58" s="630"/>
      <c r="J58" s="641"/>
      <c r="K58" s="633"/>
    </row>
    <row r="59" ht="11.25" customHeight="1" spans="1:11">
      <c r="A59" s="601">
        <v>18</v>
      </c>
      <c r="B59" s="622" t="s">
        <v>522</v>
      </c>
      <c r="C59" s="603"/>
      <c r="D59" s="603"/>
      <c r="E59" s="603"/>
      <c r="F59" s="603"/>
      <c r="G59" s="603"/>
      <c r="H59" s="625">
        <v>0.5</v>
      </c>
      <c r="I59" s="625">
        <v>0.5</v>
      </c>
      <c r="J59" s="639">
        <f>'PB III - Orçamento Sintetico'!G283</f>
        <v>2288.17</v>
      </c>
      <c r="K59" s="633"/>
    </row>
    <row r="60" spans="1:11">
      <c r="A60" s="601"/>
      <c r="B60" s="622"/>
      <c r="C60" s="605" t="str">
        <f t="shared" ref="C60:G60" si="19">IF((C59*$J$29=0)," ",ROUND(C59*$J$29,2))</f>
        <v> </v>
      </c>
      <c r="D60" s="605" t="str">
        <f t="shared" si="19"/>
        <v> </v>
      </c>
      <c r="E60" s="605" t="str">
        <f t="shared" si="19"/>
        <v> </v>
      </c>
      <c r="F60" s="605" t="str">
        <f t="shared" si="19"/>
        <v> </v>
      </c>
      <c r="G60" s="605" t="str">
        <f t="shared" si="19"/>
        <v> </v>
      </c>
      <c r="H60" s="628">
        <f t="shared" ref="H60:I60" si="20">IF((H59*$J$59=0)," ",ROUND(H59*$J$59,2))</f>
        <v>1144.09</v>
      </c>
      <c r="I60" s="628">
        <f t="shared" si="20"/>
        <v>1144.09</v>
      </c>
      <c r="J60" s="640"/>
      <c r="K60" s="633"/>
    </row>
    <row r="61" ht="9.75" customHeight="1" spans="1:11">
      <c r="A61" s="601"/>
      <c r="B61" s="622"/>
      <c r="C61" s="615"/>
      <c r="D61" s="615"/>
      <c r="E61" s="615"/>
      <c r="F61" s="615"/>
      <c r="G61" s="615"/>
      <c r="H61" s="630"/>
      <c r="I61" s="630"/>
      <c r="J61" s="641"/>
      <c r="K61" s="633"/>
    </row>
    <row r="62" spans="1:11">
      <c r="A62" s="601">
        <v>19</v>
      </c>
      <c r="B62" s="622" t="s">
        <v>540</v>
      </c>
      <c r="C62" s="603"/>
      <c r="D62" s="603"/>
      <c r="E62" s="625">
        <v>0.2</v>
      </c>
      <c r="F62" s="625">
        <v>0.2</v>
      </c>
      <c r="G62" s="625">
        <v>0.2</v>
      </c>
      <c r="H62" s="625">
        <v>0.2</v>
      </c>
      <c r="I62" s="625">
        <v>0.2</v>
      </c>
      <c r="J62" s="639">
        <f>'PB III - Orçamento Sintetico'!G292</f>
        <v>50482.21</v>
      </c>
      <c r="K62" s="633"/>
    </row>
    <row r="63" spans="1:11">
      <c r="A63" s="601"/>
      <c r="B63" s="622"/>
      <c r="C63" s="605" t="str">
        <f t="shared" ref="C63:D63" si="21">IF((C62*$J$29=0)," ",ROUND(C62*$J$29,2))</f>
        <v> </v>
      </c>
      <c r="D63" s="605" t="str">
        <f t="shared" si="21"/>
        <v> </v>
      </c>
      <c r="E63" s="628">
        <f t="shared" ref="E63:I63" si="22">IF((E62*$J$62=0)," ",ROUND(E62*$J$62,2))</f>
        <v>10096.44</v>
      </c>
      <c r="F63" s="628">
        <f t="shared" si="22"/>
        <v>10096.44</v>
      </c>
      <c r="G63" s="628">
        <f t="shared" si="22"/>
        <v>10096.44</v>
      </c>
      <c r="H63" s="628">
        <f t="shared" si="22"/>
        <v>10096.44</v>
      </c>
      <c r="I63" s="628">
        <f t="shared" si="22"/>
        <v>10096.44</v>
      </c>
      <c r="J63" s="640"/>
      <c r="K63" s="633"/>
    </row>
    <row r="64" ht="9.75" customHeight="1" spans="1:11">
      <c r="A64" s="601"/>
      <c r="B64" s="622"/>
      <c r="C64" s="615"/>
      <c r="D64" s="615"/>
      <c r="E64" s="630"/>
      <c r="F64" s="630"/>
      <c r="G64" s="630"/>
      <c r="H64" s="630"/>
      <c r="I64" s="630"/>
      <c r="J64" s="641"/>
      <c r="K64" s="633"/>
    </row>
    <row r="65" spans="1:11">
      <c r="A65" s="601">
        <v>20</v>
      </c>
      <c r="B65" s="622" t="s">
        <v>788</v>
      </c>
      <c r="C65" s="603"/>
      <c r="D65" s="603"/>
      <c r="E65" s="603"/>
      <c r="F65" s="603"/>
      <c r="G65" s="625">
        <v>0.4</v>
      </c>
      <c r="H65" s="625">
        <v>0.3</v>
      </c>
      <c r="I65" s="625">
        <v>0.3</v>
      </c>
      <c r="J65" s="639">
        <f>'PB III - Orçamento Sintetico'!G354</f>
        <v>3916.11</v>
      </c>
      <c r="K65" s="633"/>
    </row>
    <row r="66" spans="1:11">
      <c r="A66" s="601"/>
      <c r="B66" s="622"/>
      <c r="C66" s="605" t="str">
        <f t="shared" ref="C66:F66" si="23">IF((C65*$J$29=0)," ",ROUND(C65*$J$29,2))</f>
        <v> </v>
      </c>
      <c r="D66" s="605" t="str">
        <f t="shared" si="23"/>
        <v> </v>
      </c>
      <c r="E66" s="605" t="str">
        <f t="shared" si="23"/>
        <v> </v>
      </c>
      <c r="F66" s="605" t="str">
        <f t="shared" si="23"/>
        <v> </v>
      </c>
      <c r="G66" s="628">
        <f t="shared" ref="G66:I66" si="24">IF((G65*$J$65=0)," ",ROUND(G65*$J$65,2))</f>
        <v>1566.44</v>
      </c>
      <c r="H66" s="628">
        <f t="shared" si="24"/>
        <v>1174.83</v>
      </c>
      <c r="I66" s="628">
        <f t="shared" si="24"/>
        <v>1174.83</v>
      </c>
      <c r="J66" s="640"/>
      <c r="K66" s="633"/>
    </row>
    <row r="67" ht="10.5" customHeight="1" spans="1:11">
      <c r="A67" s="601"/>
      <c r="B67" s="622"/>
      <c r="C67" s="615"/>
      <c r="D67" s="615"/>
      <c r="E67" s="615"/>
      <c r="F67" s="615"/>
      <c r="G67" s="630"/>
      <c r="H67" s="630"/>
      <c r="I67" s="630"/>
      <c r="J67" s="641"/>
      <c r="K67" s="633"/>
    </row>
    <row r="68" spans="1:11">
      <c r="A68" s="601">
        <v>21</v>
      </c>
      <c r="B68" s="622" t="s">
        <v>702</v>
      </c>
      <c r="C68" s="603"/>
      <c r="D68" s="603"/>
      <c r="E68" s="603"/>
      <c r="F68" s="603"/>
      <c r="G68" s="603"/>
      <c r="H68" s="626">
        <v>0.5</v>
      </c>
      <c r="I68" s="626">
        <v>0.5</v>
      </c>
      <c r="J68" s="639">
        <f>'PB III - Orçamento Sintetico'!G380</f>
        <v>1597.27</v>
      </c>
      <c r="K68" s="633"/>
    </row>
    <row r="69" spans="1:11">
      <c r="A69" s="601"/>
      <c r="B69" s="622"/>
      <c r="C69" s="605" t="str">
        <f t="shared" ref="C69:G69" si="25">IF((C68*$J$29=0)," ",ROUND(C68*$J$29,2))</f>
        <v> </v>
      </c>
      <c r="D69" s="605" t="str">
        <f t="shared" si="25"/>
        <v> </v>
      </c>
      <c r="E69" s="605" t="str">
        <f t="shared" si="25"/>
        <v> </v>
      </c>
      <c r="F69" s="605" t="str">
        <f t="shared" si="25"/>
        <v> </v>
      </c>
      <c r="G69" s="605" t="str">
        <f t="shared" si="25"/>
        <v> </v>
      </c>
      <c r="H69" s="628">
        <f t="shared" ref="H69:I69" si="26">IF((H68*$J$68=0)," ",ROUND(H68*$J$68,2))</f>
        <v>798.64</v>
      </c>
      <c r="I69" s="628">
        <f t="shared" si="26"/>
        <v>798.64</v>
      </c>
      <c r="J69" s="640"/>
      <c r="K69" s="633"/>
    </row>
    <row r="70" ht="7.5" customHeight="1" spans="1:11">
      <c r="A70" s="601"/>
      <c r="B70" s="622"/>
      <c r="C70" s="615"/>
      <c r="D70" s="615"/>
      <c r="E70" s="615"/>
      <c r="F70" s="615"/>
      <c r="G70" s="615"/>
      <c r="H70" s="630"/>
      <c r="I70" s="630"/>
      <c r="J70" s="641"/>
      <c r="K70" s="633"/>
    </row>
    <row r="71" spans="1:11">
      <c r="A71" s="601">
        <v>22</v>
      </c>
      <c r="B71" s="622" t="s">
        <v>707</v>
      </c>
      <c r="C71" s="603"/>
      <c r="D71" s="603"/>
      <c r="E71" s="603"/>
      <c r="F71" s="603"/>
      <c r="G71" s="625">
        <v>0.3</v>
      </c>
      <c r="H71" s="625">
        <v>0.4</v>
      </c>
      <c r="I71" s="625">
        <v>0.3</v>
      </c>
      <c r="J71" s="639">
        <f>'PB III - Orçamento Sintetico'!G384</f>
        <v>21159.34</v>
      </c>
      <c r="K71" s="633"/>
    </row>
    <row r="72" spans="1:11">
      <c r="A72" s="601"/>
      <c r="B72" s="622"/>
      <c r="C72" s="605" t="str">
        <f t="shared" ref="C72:F72" si="27">IF((C71*$J$29=0)," ",ROUND(C71*$J$29,2))</f>
        <v> </v>
      </c>
      <c r="D72" s="605" t="str">
        <f t="shared" si="27"/>
        <v> </v>
      </c>
      <c r="E72" s="605" t="str">
        <f t="shared" si="27"/>
        <v> </v>
      </c>
      <c r="F72" s="605" t="str">
        <f t="shared" si="27"/>
        <v> </v>
      </c>
      <c r="G72" s="628">
        <f t="shared" ref="G72:I72" si="28">IF((G71*$J$71=0)," ",ROUND(G71*$J$71,2))</f>
        <v>6347.8</v>
      </c>
      <c r="H72" s="628">
        <f t="shared" si="28"/>
        <v>8463.74</v>
      </c>
      <c r="I72" s="628">
        <f t="shared" si="28"/>
        <v>6347.8</v>
      </c>
      <c r="J72" s="640"/>
      <c r="K72" s="633"/>
    </row>
    <row r="73" ht="11.25" customHeight="1" spans="1:11">
      <c r="A73" s="601"/>
      <c r="B73" s="622"/>
      <c r="C73" s="615"/>
      <c r="D73" s="615"/>
      <c r="E73" s="615"/>
      <c r="F73" s="615"/>
      <c r="G73" s="630"/>
      <c r="H73" s="630"/>
      <c r="I73" s="630"/>
      <c r="J73" s="641"/>
      <c r="K73" s="633"/>
    </row>
    <row r="74" spans="1:11">
      <c r="A74" s="601">
        <v>23</v>
      </c>
      <c r="B74" s="622" t="s">
        <v>789</v>
      </c>
      <c r="C74" s="603"/>
      <c r="D74" s="603"/>
      <c r="E74" s="603"/>
      <c r="F74" s="603"/>
      <c r="G74" s="625">
        <v>0.4</v>
      </c>
      <c r="H74" s="625">
        <v>0.6</v>
      </c>
      <c r="I74" s="603"/>
      <c r="J74" s="639">
        <f>'PB III - Orçamento Sintetico'!G393</f>
        <v>1468.34</v>
      </c>
      <c r="K74" s="633"/>
    </row>
    <row r="75" spans="1:11">
      <c r="A75" s="601"/>
      <c r="B75" s="622"/>
      <c r="C75" s="605" t="str">
        <f t="shared" ref="C75:F75" si="29">IF((C74*$J$29=0)," ",ROUND(C74*$J$29,2))</f>
        <v> </v>
      </c>
      <c r="D75" s="605" t="str">
        <f t="shared" si="29"/>
        <v> </v>
      </c>
      <c r="E75" s="605" t="str">
        <f t="shared" si="29"/>
        <v> </v>
      </c>
      <c r="F75" s="605" t="str">
        <f t="shared" si="29"/>
        <v> </v>
      </c>
      <c r="G75" s="628">
        <f t="shared" ref="G75:H75" si="30">IF((G74*$J$74=0)," ",ROUND(G74*$J$74,2))</f>
        <v>587.34</v>
      </c>
      <c r="H75" s="628">
        <f t="shared" si="30"/>
        <v>881</v>
      </c>
      <c r="I75" s="605" t="str">
        <f t="shared" ref="I75" si="31">IF((I74*$J$29=0)," ",ROUND(I74*$J$29,2))</f>
        <v> </v>
      </c>
      <c r="J75" s="640"/>
      <c r="K75" s="633"/>
    </row>
    <row r="76" ht="9" customHeight="1" spans="1:11">
      <c r="A76" s="601"/>
      <c r="B76" s="622"/>
      <c r="C76" s="615"/>
      <c r="D76" s="615"/>
      <c r="E76" s="615"/>
      <c r="F76" s="615"/>
      <c r="G76" s="630"/>
      <c r="H76" s="630"/>
      <c r="I76" s="615"/>
      <c r="J76" s="641"/>
      <c r="K76" s="633"/>
    </row>
    <row r="77" spans="1:11">
      <c r="A77" s="601">
        <v>24</v>
      </c>
      <c r="B77" s="622" t="s">
        <v>737</v>
      </c>
      <c r="C77" s="603"/>
      <c r="D77" s="603"/>
      <c r="E77" s="603"/>
      <c r="F77" s="603"/>
      <c r="G77" s="603"/>
      <c r="H77" s="603"/>
      <c r="I77" s="625">
        <v>1</v>
      </c>
      <c r="J77" s="639">
        <f>'PB III - Orçamento Sintetico'!G401</f>
        <v>15658.59</v>
      </c>
      <c r="K77" s="633"/>
    </row>
    <row r="78" spans="1:11">
      <c r="A78" s="601"/>
      <c r="B78" s="622"/>
      <c r="C78" s="605" t="str">
        <f t="shared" ref="C78:H78" si="32">IF((C77*$J$29=0)," ",ROUND(C77*$J$29,2))</f>
        <v> </v>
      </c>
      <c r="D78" s="605" t="str">
        <f t="shared" si="32"/>
        <v> </v>
      </c>
      <c r="E78" s="605" t="str">
        <f t="shared" si="32"/>
        <v> </v>
      </c>
      <c r="F78" s="605" t="str">
        <f t="shared" si="32"/>
        <v> </v>
      </c>
      <c r="G78" s="605" t="str">
        <f t="shared" si="32"/>
        <v> </v>
      </c>
      <c r="H78" s="605" t="str">
        <f t="shared" si="32"/>
        <v> </v>
      </c>
      <c r="I78" s="628">
        <f t="shared" ref="I78" si="33">IF((I77*$J$77=0)," ",ROUND(I77*$J$77,2))</f>
        <v>15658.59</v>
      </c>
      <c r="J78" s="640"/>
      <c r="K78" s="633"/>
    </row>
    <row r="79" ht="12" customHeight="1" spans="1:11">
      <c r="A79" s="601"/>
      <c r="B79" s="622"/>
      <c r="C79" s="615"/>
      <c r="D79" s="615"/>
      <c r="E79" s="615"/>
      <c r="F79" s="615"/>
      <c r="G79" s="615"/>
      <c r="H79" s="615"/>
      <c r="I79" s="630"/>
      <c r="J79" s="641"/>
      <c r="K79" s="633"/>
    </row>
    <row r="80" spans="1:11">
      <c r="A80" s="601">
        <v>25</v>
      </c>
      <c r="B80" s="622" t="s">
        <v>790</v>
      </c>
      <c r="C80" s="603"/>
      <c r="D80" s="603"/>
      <c r="E80" s="603"/>
      <c r="F80" s="603"/>
      <c r="G80" s="603"/>
      <c r="H80" s="603"/>
      <c r="I80" s="625">
        <v>1</v>
      </c>
      <c r="J80" s="639">
        <f>'PB III - Orçamento Sintetico'!G420</f>
        <v>62537</v>
      </c>
      <c r="K80" s="633"/>
    </row>
    <row r="81" spans="1:11">
      <c r="A81" s="601"/>
      <c r="B81" s="622"/>
      <c r="C81" s="605" t="str">
        <f t="shared" ref="C81:H81" si="34">IF((C80*$J$29=0)," ",ROUND(C80*$J$29,2))</f>
        <v> </v>
      </c>
      <c r="D81" s="605" t="str">
        <f t="shared" si="34"/>
        <v> </v>
      </c>
      <c r="E81" s="605" t="str">
        <f t="shared" si="34"/>
        <v> </v>
      </c>
      <c r="F81" s="605" t="str">
        <f t="shared" si="34"/>
        <v> </v>
      </c>
      <c r="G81" s="605" t="str">
        <f t="shared" si="34"/>
        <v> </v>
      </c>
      <c r="H81" s="605" t="str">
        <f t="shared" si="34"/>
        <v> </v>
      </c>
      <c r="I81" s="628">
        <f>IF((I80*$J$80=0)," ",ROUND(I80*$J$80,2))</f>
        <v>62537</v>
      </c>
      <c r="J81" s="640"/>
      <c r="K81" s="633"/>
    </row>
    <row r="82" spans="1:11">
      <c r="A82" s="601"/>
      <c r="B82" s="622"/>
      <c r="C82" s="615"/>
      <c r="D82" s="615"/>
      <c r="E82" s="615"/>
      <c r="F82" s="615"/>
      <c r="G82" s="615"/>
      <c r="H82" s="615"/>
      <c r="I82" s="630"/>
      <c r="J82" s="641"/>
      <c r="K82" s="633"/>
    </row>
    <row r="83" spans="1:11">
      <c r="A83" s="601">
        <v>26</v>
      </c>
      <c r="B83" s="631" t="s">
        <v>791</v>
      </c>
      <c r="C83" s="625">
        <v>0.063</v>
      </c>
      <c r="D83" s="625">
        <v>0.0967</v>
      </c>
      <c r="E83" s="625">
        <v>0.1541</v>
      </c>
      <c r="F83" s="625">
        <v>0.1926</v>
      </c>
      <c r="G83" s="625">
        <v>0.1835</v>
      </c>
      <c r="H83" s="625">
        <v>0.0988</v>
      </c>
      <c r="I83" s="625">
        <v>0.2112</v>
      </c>
      <c r="J83" s="639">
        <f>'PB III - Orçamento Sintetico'!G412</f>
        <v>87593.87</v>
      </c>
      <c r="K83" s="633"/>
    </row>
    <row r="84" spans="1:11">
      <c r="A84" s="601"/>
      <c r="B84" s="631"/>
      <c r="C84" s="628">
        <f>IF((C83*$J$83=0)," ",ROUND(C83*$J$83,2))</f>
        <v>5518.41</v>
      </c>
      <c r="D84" s="628">
        <f t="shared" ref="D84:I84" si="35">IF((D83*$J$83=0)," ",ROUND(D83*$J$83,2))</f>
        <v>8470.33</v>
      </c>
      <c r="E84" s="628">
        <f t="shared" si="35"/>
        <v>13498.22</v>
      </c>
      <c r="F84" s="628">
        <f t="shared" si="35"/>
        <v>16870.58</v>
      </c>
      <c r="G84" s="628">
        <f t="shared" si="35"/>
        <v>16073.48</v>
      </c>
      <c r="H84" s="628">
        <f t="shared" si="35"/>
        <v>8654.27</v>
      </c>
      <c r="I84" s="628">
        <f t="shared" si="35"/>
        <v>18499.83</v>
      </c>
      <c r="J84" s="640"/>
      <c r="K84" s="633"/>
    </row>
    <row r="85" ht="9.75" customHeight="1" spans="1:11">
      <c r="A85" s="601"/>
      <c r="B85" s="631"/>
      <c r="C85" s="630"/>
      <c r="D85" s="630"/>
      <c r="E85" s="630"/>
      <c r="F85" s="630"/>
      <c r="G85" s="630"/>
      <c r="H85" s="630"/>
      <c r="I85" s="630"/>
      <c r="J85" s="641"/>
      <c r="K85" s="633"/>
    </row>
    <row r="86" spans="1:11">
      <c r="A86" s="646" t="s">
        <v>792</v>
      </c>
      <c r="B86" s="646"/>
      <c r="C86" s="647">
        <f>ROUND(SUM(C9,C12,C15,C18,C21,C24,C27,C30,C33,C36,C39,C42,C45,C48,C51,C54,C57,C60,C63,C66,C69,C72,C75,C78,C81,C84)/$J$86,4)</f>
        <v>0.063</v>
      </c>
      <c r="D86" s="647">
        <f t="shared" ref="D86:H86" si="36">ROUND(SUM(D9,D12,D15,D18,D21,D24,D27,D30,D33,D36,D39,D42,D45,D48,D51,D54,D57,D60,D63,D66,D69,D72,D75,D78,D81,D84)/$J$86,4)</f>
        <v>0.0967</v>
      </c>
      <c r="E86" s="647">
        <f t="shared" si="36"/>
        <v>0.1541</v>
      </c>
      <c r="F86" s="647">
        <f t="shared" si="36"/>
        <v>0.1926</v>
      </c>
      <c r="G86" s="647">
        <f t="shared" si="36"/>
        <v>0.1835</v>
      </c>
      <c r="H86" s="647">
        <f t="shared" si="36"/>
        <v>0.0988</v>
      </c>
      <c r="I86" s="647">
        <f>ROUND(SUM(I9,I12,I15,I18,I21,I24,I27,I30,I33,I36,I39,I42,I45,I48,I51,I54,I57,I60,I63,I66,I69,I72,I75,I78,I81,I84)/$J$86,4)+0.0001</f>
        <v>0.2113</v>
      </c>
      <c r="J86" s="639">
        <f>SUM(J8:J84)</f>
        <v>700365.09</v>
      </c>
      <c r="K86" s="633"/>
    </row>
    <row r="87" spans="1:11">
      <c r="A87" s="646" t="s">
        <v>793</v>
      </c>
      <c r="B87" s="646"/>
      <c r="C87" s="647">
        <f>C86</f>
        <v>0.063</v>
      </c>
      <c r="D87" s="647">
        <f>D86+C87</f>
        <v>0.1597</v>
      </c>
      <c r="E87" s="647">
        <f>E86+D87</f>
        <v>0.3138</v>
      </c>
      <c r="F87" s="647">
        <f t="shared" ref="F87:I87" si="37">F86+E87</f>
        <v>0.5064</v>
      </c>
      <c r="G87" s="647">
        <f t="shared" si="37"/>
        <v>0.6899</v>
      </c>
      <c r="H87" s="647">
        <f t="shared" si="37"/>
        <v>0.7887</v>
      </c>
      <c r="I87" s="647">
        <f t="shared" si="37"/>
        <v>1</v>
      </c>
      <c r="J87" s="640"/>
      <c r="K87" s="633"/>
    </row>
    <row r="88" spans="1:11">
      <c r="A88" s="646" t="s">
        <v>794</v>
      </c>
      <c r="B88" s="646"/>
      <c r="C88" s="648">
        <f>ROUND(C86*$J$86,2)</f>
        <v>44123</v>
      </c>
      <c r="D88" s="648">
        <f t="shared" ref="D88:I88" si="38">ROUND(D86*$J$86,2)</f>
        <v>67725.3</v>
      </c>
      <c r="E88" s="648">
        <f t="shared" si="38"/>
        <v>107926.26</v>
      </c>
      <c r="F88" s="648">
        <f t="shared" si="38"/>
        <v>134890.32</v>
      </c>
      <c r="G88" s="648">
        <f t="shared" si="38"/>
        <v>128516.99</v>
      </c>
      <c r="H88" s="648">
        <f t="shared" si="38"/>
        <v>69196.07</v>
      </c>
      <c r="I88" s="648">
        <f t="shared" si="38"/>
        <v>147987.14</v>
      </c>
      <c r="J88" s="640"/>
      <c r="K88" s="633"/>
    </row>
    <row r="89" spans="1:11">
      <c r="A89" s="646" t="s">
        <v>795</v>
      </c>
      <c r="B89" s="646"/>
      <c r="C89" s="648">
        <f>C88</f>
        <v>44123</v>
      </c>
      <c r="D89" s="648">
        <f>C89+D88</f>
        <v>111848.3</v>
      </c>
      <c r="E89" s="648">
        <f>D89+E88</f>
        <v>219774.56</v>
      </c>
      <c r="F89" s="648">
        <f t="shared" ref="F89:H89" si="39">E89+F88</f>
        <v>354664.88</v>
      </c>
      <c r="G89" s="648">
        <f t="shared" si="39"/>
        <v>483181.87</v>
      </c>
      <c r="H89" s="648">
        <f t="shared" si="39"/>
        <v>552377.94</v>
      </c>
      <c r="I89" s="648">
        <f>H89+I88+0.01</f>
        <v>700365.09</v>
      </c>
      <c r="J89" s="641"/>
      <c r="K89" s="633"/>
    </row>
    <row r="90" spans="1:11">
      <c r="A90" s="649"/>
      <c r="B90" s="649"/>
      <c r="C90" s="649"/>
      <c r="D90" s="649"/>
      <c r="E90" s="649"/>
      <c r="F90" s="649"/>
      <c r="G90" s="649"/>
      <c r="H90" s="649"/>
      <c r="I90" s="649"/>
      <c r="J90" s="649"/>
      <c r="K90" s="633"/>
    </row>
    <row r="91" spans="1:11">
      <c r="A91" s="622" t="s">
        <v>796</v>
      </c>
      <c r="B91" s="622"/>
      <c r="C91" s="622"/>
      <c r="D91" s="622"/>
      <c r="E91" s="622"/>
      <c r="F91" s="622"/>
      <c r="G91" s="622"/>
      <c r="H91" s="622"/>
      <c r="I91" s="622"/>
      <c r="J91" s="622"/>
      <c r="K91" s="633"/>
    </row>
    <row r="92" spans="1:11">
      <c r="A92" s="650" t="s">
        <v>797</v>
      </c>
      <c r="B92" s="650"/>
      <c r="C92" s="650"/>
      <c r="D92" s="650"/>
      <c r="E92" s="650"/>
      <c r="F92" s="650"/>
      <c r="G92" s="650"/>
      <c r="H92" s="650"/>
      <c r="I92" s="650"/>
      <c r="J92" s="650"/>
      <c r="K92" s="633"/>
    </row>
    <row r="94" spans="1:10">
      <c r="A94"/>
      <c r="B94"/>
      <c r="C94"/>
      <c r="D94"/>
      <c r="E94"/>
      <c r="F94"/>
      <c r="G94"/>
      <c r="H94"/>
      <c r="I94"/>
      <c r="J94"/>
    </row>
    <row r="95" spans="1:10">
      <c r="A95"/>
      <c r="B95"/>
      <c r="C95"/>
      <c r="D95"/>
      <c r="E95"/>
      <c r="F95"/>
      <c r="G95"/>
      <c r="H95"/>
      <c r="I95"/>
      <c r="J95"/>
    </row>
    <row r="96" spans="1:10">
      <c r="A96"/>
      <c r="B96"/>
      <c r="C96"/>
      <c r="D96"/>
      <c r="E96"/>
      <c r="F96"/>
      <c r="G96"/>
      <c r="H96"/>
      <c r="I96"/>
      <c r="J96"/>
    </row>
    <row r="97" spans="1:10">
      <c r="A97"/>
      <c r="B97"/>
      <c r="C97"/>
      <c r="D97"/>
      <c r="E97"/>
      <c r="F97"/>
      <c r="G97"/>
      <c r="H97"/>
      <c r="I97"/>
      <c r="J97"/>
    </row>
  </sheetData>
  <mergeCells count="88">
    <mergeCell ref="A1:J1"/>
    <mergeCell ref="A3:J3"/>
    <mergeCell ref="A86:B86"/>
    <mergeCell ref="A87:B87"/>
    <mergeCell ref="A88:B88"/>
    <mergeCell ref="A89:B89"/>
    <mergeCell ref="A90:J90"/>
    <mergeCell ref="A91:J91"/>
    <mergeCell ref="A92:J92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1:A73"/>
    <mergeCell ref="A74:A76"/>
    <mergeCell ref="A77:A79"/>
    <mergeCell ref="A80:A82"/>
    <mergeCell ref="A83:A85"/>
    <mergeCell ref="B8:B10"/>
    <mergeCell ref="B11:B13"/>
    <mergeCell ref="B14:B16"/>
    <mergeCell ref="B17:B19"/>
    <mergeCell ref="B20:B22"/>
    <mergeCell ref="B23:B25"/>
    <mergeCell ref="B26:B28"/>
    <mergeCell ref="B29:B31"/>
    <mergeCell ref="B32:B34"/>
    <mergeCell ref="B35:B37"/>
    <mergeCell ref="B38:B40"/>
    <mergeCell ref="B41:B43"/>
    <mergeCell ref="B44:B46"/>
    <mergeCell ref="B47:B49"/>
    <mergeCell ref="B50:B52"/>
    <mergeCell ref="B53:B55"/>
    <mergeCell ref="B56:B58"/>
    <mergeCell ref="B59:B61"/>
    <mergeCell ref="B62:B64"/>
    <mergeCell ref="B65:B67"/>
    <mergeCell ref="B68:B70"/>
    <mergeCell ref="B71:B73"/>
    <mergeCell ref="B74:B76"/>
    <mergeCell ref="B77:B79"/>
    <mergeCell ref="B80:B82"/>
    <mergeCell ref="B83:B85"/>
    <mergeCell ref="J8:J10"/>
    <mergeCell ref="J11:J13"/>
    <mergeCell ref="J14:J16"/>
    <mergeCell ref="J17:J19"/>
    <mergeCell ref="J20:J22"/>
    <mergeCell ref="J23:J25"/>
    <mergeCell ref="J26:J28"/>
    <mergeCell ref="J29:J31"/>
    <mergeCell ref="J32:J34"/>
    <mergeCell ref="J35:J37"/>
    <mergeCell ref="J38:J40"/>
    <mergeCell ref="J41:J43"/>
    <mergeCell ref="J44:J46"/>
    <mergeCell ref="J47:J49"/>
    <mergeCell ref="J50:J52"/>
    <mergeCell ref="J53:J55"/>
    <mergeCell ref="J56:J58"/>
    <mergeCell ref="J59:J61"/>
    <mergeCell ref="J62:J64"/>
    <mergeCell ref="J65:J67"/>
    <mergeCell ref="J68:J70"/>
    <mergeCell ref="J71:J73"/>
    <mergeCell ref="J74:J76"/>
    <mergeCell ref="J77:J79"/>
    <mergeCell ref="J80:J82"/>
    <mergeCell ref="J83:J85"/>
    <mergeCell ref="J86:J89"/>
  </mergeCells>
  <printOptions horizontalCentered="1"/>
  <pageMargins left="0.196527777777778" right="0.196527777777778" top="1.41666666666667" bottom="0.393055555555556" header="0" footer="0"/>
  <pageSetup paperSize="9" scale="94" orientation="portrait"/>
  <headerFooter>
    <oddHeader>&amp;C&amp;9
&amp;G
DEFENSORIA PÚBLICA DO ESTADO DE RORAIMA
“Amazônia: Patrimônio dos brasileiros”
____________________________________________________________________________________________________</oddHeader>
    <oddFooter>&amp;C&amp;"Arial,Normal"&amp;9Página &amp;P de &amp;N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0000"/>
  </sheetPr>
  <dimension ref="A1:J405"/>
  <sheetViews>
    <sheetView view="pageBreakPreview" zoomScaleNormal="100" zoomScaleSheetLayoutView="100" topLeftCell="A181" workbookViewId="0">
      <selection activeCell="F186" sqref="F186"/>
    </sheetView>
  </sheetViews>
  <sheetFormatPr defaultColWidth="9" defaultRowHeight="15"/>
  <cols>
    <col min="1" max="1" width="13.7142857142857" style="441" customWidth="1"/>
    <col min="2" max="2" width="50.5714285714286" style="442" customWidth="1"/>
    <col min="3" max="3" width="6.85714285714286" style="442" customWidth="1"/>
    <col min="4" max="4" width="9.28571428571429" style="442" customWidth="1"/>
    <col min="5" max="5" width="9.42857142857143" style="442" customWidth="1"/>
    <col min="6" max="6" width="9.14285714285714" style="442" customWidth="1"/>
  </cols>
  <sheetData>
    <row r="1" ht="15.75" spans="1:10">
      <c r="A1" s="443" t="s">
        <v>798</v>
      </c>
      <c r="B1" s="444"/>
      <c r="C1" s="444"/>
      <c r="D1" s="444"/>
      <c r="E1" s="444"/>
      <c r="F1" s="444"/>
      <c r="G1" s="445"/>
      <c r="H1" s="446"/>
      <c r="I1" s="446"/>
      <c r="J1" s="446"/>
    </row>
    <row r="2" ht="5.1" customHeight="1" spans="1:10">
      <c r="A2" s="447"/>
      <c r="B2" s="448"/>
      <c r="C2" s="448"/>
      <c r="D2" s="448"/>
      <c r="E2" s="448"/>
      <c r="F2" s="449"/>
      <c r="G2" s="446"/>
      <c r="H2" s="446"/>
      <c r="I2" s="446"/>
      <c r="J2" s="446"/>
    </row>
    <row r="3" ht="26.25" customHeight="1" spans="1:10">
      <c r="A3" s="450" t="str">
        <f>'PB III - Orçamento Sintetico'!A4:G4</f>
        <v>OBRA: CONSTRUÇÃO DA SEDE DA DEFENSORIA PÚBLICA DO ESTADO DE RORAIMA NO MUNICIPIO DE ALTO ALEGRE - DPE/RR</v>
      </c>
      <c r="B3" s="451"/>
      <c r="C3" s="451"/>
      <c r="D3" s="451"/>
      <c r="E3" s="451"/>
      <c r="F3" s="451"/>
      <c r="G3" s="446"/>
      <c r="H3" s="446"/>
      <c r="I3" s="446"/>
      <c r="J3" s="446"/>
    </row>
    <row r="4" ht="5.1" customHeight="1" spans="1:10">
      <c r="A4" s="452"/>
      <c r="B4" s="453"/>
      <c r="C4" s="453"/>
      <c r="D4" s="453"/>
      <c r="E4" s="453"/>
      <c r="F4" s="454"/>
      <c r="G4" s="455"/>
      <c r="H4" s="446"/>
      <c r="I4" s="446"/>
      <c r="J4" s="446"/>
    </row>
    <row r="5" ht="4.5" customHeight="1" spans="1:10">
      <c r="A5" s="456"/>
      <c r="B5" s="457"/>
      <c r="C5" s="457"/>
      <c r="D5" s="457"/>
      <c r="E5" s="457"/>
      <c r="F5" s="458"/>
      <c r="G5" s="446"/>
      <c r="H5" s="446"/>
      <c r="I5" s="446"/>
      <c r="J5" s="446"/>
    </row>
    <row r="6" spans="1:6">
      <c r="A6" s="459" t="s">
        <v>2</v>
      </c>
      <c r="B6" s="460"/>
      <c r="C6" s="460"/>
      <c r="D6" s="460"/>
      <c r="E6" s="460"/>
      <c r="F6" s="460"/>
    </row>
    <row r="7" spans="1:6">
      <c r="A7" s="461"/>
      <c r="B7" s="462"/>
      <c r="C7" s="462"/>
      <c r="D7" s="462"/>
      <c r="E7" s="462"/>
      <c r="F7" s="462"/>
    </row>
    <row r="8" spans="1:8">
      <c r="A8" s="463" t="s">
        <v>18</v>
      </c>
      <c r="B8" s="464" t="s">
        <v>799</v>
      </c>
      <c r="C8" s="465"/>
      <c r="D8" s="466"/>
      <c r="E8" s="467" t="s">
        <v>800</v>
      </c>
      <c r="F8" s="467" t="s">
        <v>801</v>
      </c>
      <c r="H8" s="446" t="s">
        <v>802</v>
      </c>
    </row>
    <row r="9" spans="1:6">
      <c r="A9" s="468" t="s">
        <v>803</v>
      </c>
      <c r="B9" s="469" t="s">
        <v>804</v>
      </c>
      <c r="C9" s="469" t="s">
        <v>805</v>
      </c>
      <c r="D9" s="469" t="s">
        <v>8</v>
      </c>
      <c r="E9" s="469" t="s">
        <v>9</v>
      </c>
      <c r="F9" s="469" t="s">
        <v>10</v>
      </c>
    </row>
    <row r="10" spans="1:6">
      <c r="A10" s="470">
        <v>88316</v>
      </c>
      <c r="B10" s="471" t="s">
        <v>806</v>
      </c>
      <c r="C10" s="472" t="s">
        <v>807</v>
      </c>
      <c r="D10" s="473">
        <v>24</v>
      </c>
      <c r="E10" s="474">
        <v>13.21</v>
      </c>
      <c r="F10" s="475">
        <f>ROUND(D10*E10,2)</f>
        <v>317.04</v>
      </c>
    </row>
    <row r="11" spans="1:6">
      <c r="A11" s="476"/>
      <c r="B11" s="477"/>
      <c r="C11" s="478"/>
      <c r="D11" s="479" t="s">
        <v>779</v>
      </c>
      <c r="E11" s="479"/>
      <c r="F11" s="480">
        <f>SUM(F10:F10)</f>
        <v>317.04</v>
      </c>
    </row>
    <row r="12" spans="1:6">
      <c r="A12" s="461"/>
      <c r="B12" s="462"/>
      <c r="C12" s="462"/>
      <c r="D12" s="462"/>
      <c r="E12" s="462"/>
      <c r="F12" s="462"/>
    </row>
    <row r="13" spans="1:8">
      <c r="A13" s="463" t="s">
        <v>50</v>
      </c>
      <c r="B13" s="464" t="s">
        <v>808</v>
      </c>
      <c r="C13" s="465"/>
      <c r="D13" s="466"/>
      <c r="E13" s="467" t="s">
        <v>800</v>
      </c>
      <c r="F13" s="467" t="s">
        <v>502</v>
      </c>
      <c r="H13" t="s">
        <v>802</v>
      </c>
    </row>
    <row r="14" spans="1:6">
      <c r="A14" s="468" t="s">
        <v>803</v>
      </c>
      <c r="B14" s="469" t="s">
        <v>804</v>
      </c>
      <c r="C14" s="469" t="s">
        <v>805</v>
      </c>
      <c r="D14" s="469" t="s">
        <v>8</v>
      </c>
      <c r="E14" s="469" t="s">
        <v>9</v>
      </c>
      <c r="F14" s="469" t="s">
        <v>10</v>
      </c>
    </row>
    <row r="15" spans="1:6">
      <c r="A15" s="481" t="s">
        <v>809</v>
      </c>
      <c r="B15" s="482" t="s">
        <v>810</v>
      </c>
      <c r="C15" s="483" t="s">
        <v>811</v>
      </c>
      <c r="D15" s="484">
        <v>0.03</v>
      </c>
      <c r="E15" s="484">
        <v>18.72</v>
      </c>
      <c r="F15" s="485">
        <v>0.56</v>
      </c>
    </row>
    <row r="16" spans="1:6">
      <c r="A16" s="481" t="s">
        <v>812</v>
      </c>
      <c r="B16" s="482" t="s">
        <v>813</v>
      </c>
      <c r="C16" s="483" t="s">
        <v>811</v>
      </c>
      <c r="D16" s="484">
        <v>0.3</v>
      </c>
      <c r="E16" s="484">
        <v>15.38</v>
      </c>
      <c r="F16" s="485">
        <f>ROUND(D16*E16,2)</f>
        <v>4.61</v>
      </c>
    </row>
    <row r="17" spans="4:6">
      <c r="D17" s="479" t="s">
        <v>779</v>
      </c>
      <c r="E17" s="479"/>
      <c r="F17" s="480">
        <f>SUM(F15:F16)</f>
        <v>5.17</v>
      </c>
    </row>
    <row r="18" spans="4:6">
      <c r="D18" s="486"/>
      <c r="E18" s="486"/>
      <c r="F18" s="487"/>
    </row>
    <row r="19" spans="1:6">
      <c r="A19" s="463" t="s">
        <v>61</v>
      </c>
      <c r="B19" s="464" t="s">
        <v>814</v>
      </c>
      <c r="C19" s="465"/>
      <c r="D19" s="466"/>
      <c r="E19" s="467" t="s">
        <v>800</v>
      </c>
      <c r="F19" s="467" t="s">
        <v>801</v>
      </c>
    </row>
    <row r="20" spans="1:10">
      <c r="A20" s="468" t="s">
        <v>803</v>
      </c>
      <c r="B20" s="469" t="s">
        <v>804</v>
      </c>
      <c r="C20" s="469" t="s">
        <v>805</v>
      </c>
      <c r="D20" s="469" t="s">
        <v>8</v>
      </c>
      <c r="E20" s="469" t="s">
        <v>9</v>
      </c>
      <c r="F20" s="469" t="s">
        <v>10</v>
      </c>
      <c r="J20" s="507"/>
    </row>
    <row r="21" spans="1:6">
      <c r="A21" s="481" t="s">
        <v>815</v>
      </c>
      <c r="B21" s="482" t="s">
        <v>806</v>
      </c>
      <c r="C21" s="483" t="s">
        <v>811</v>
      </c>
      <c r="D21" s="484">
        <v>0.8</v>
      </c>
      <c r="E21" s="484">
        <v>13.21</v>
      </c>
      <c r="F21" s="485">
        <f>ROUND(D21*E21,2)</f>
        <v>10.57</v>
      </c>
    </row>
    <row r="22" spans="1:6">
      <c r="A22" s="481" t="s">
        <v>816</v>
      </c>
      <c r="B22" s="482" t="s">
        <v>817</v>
      </c>
      <c r="C22" s="483" t="s">
        <v>811</v>
      </c>
      <c r="D22" s="484">
        <v>0.08</v>
      </c>
      <c r="E22" s="484">
        <v>18.99</v>
      </c>
      <c r="F22" s="485">
        <f>ROUND(D22*E22,2)</f>
        <v>1.52</v>
      </c>
    </row>
    <row r="23" spans="4:6">
      <c r="D23" s="479" t="s">
        <v>779</v>
      </c>
      <c r="E23" s="479"/>
      <c r="F23" s="480">
        <f>SUM(F21:F22)</f>
        <v>12.09</v>
      </c>
    </row>
    <row r="24" spans="4:6">
      <c r="D24" s="486"/>
      <c r="E24" s="486"/>
      <c r="F24" s="487"/>
    </row>
    <row r="25" spans="1:6">
      <c r="A25" s="463" t="s">
        <v>64</v>
      </c>
      <c r="B25" s="464" t="s">
        <v>818</v>
      </c>
      <c r="C25" s="465"/>
      <c r="D25" s="466"/>
      <c r="E25" s="467" t="s">
        <v>800</v>
      </c>
      <c r="F25" s="467" t="s">
        <v>801</v>
      </c>
    </row>
    <row r="26" spans="1:6">
      <c r="A26" s="468" t="s">
        <v>803</v>
      </c>
      <c r="B26" s="469" t="s">
        <v>804</v>
      </c>
      <c r="C26" s="469" t="s">
        <v>805</v>
      </c>
      <c r="D26" s="469" t="s">
        <v>8</v>
      </c>
      <c r="E26" s="469" t="s">
        <v>9</v>
      </c>
      <c r="F26" s="469" t="s">
        <v>10</v>
      </c>
    </row>
    <row r="27" spans="1:6">
      <c r="A27" s="481" t="s">
        <v>815</v>
      </c>
      <c r="B27" s="482" t="s">
        <v>806</v>
      </c>
      <c r="C27" s="483" t="s">
        <v>811</v>
      </c>
      <c r="D27" s="484">
        <f>0.25+1.3</f>
        <v>1.55</v>
      </c>
      <c r="E27" s="484">
        <v>13.21</v>
      </c>
      <c r="F27" s="485">
        <f>ROUND(D27*E27,2)</f>
        <v>20.48</v>
      </c>
    </row>
    <row r="28" spans="1:6">
      <c r="A28" s="481" t="s">
        <v>819</v>
      </c>
      <c r="B28" s="482" t="s">
        <v>820</v>
      </c>
      <c r="C28" s="483" t="s">
        <v>811</v>
      </c>
      <c r="D28" s="484">
        <f>0.025+0.13</f>
        <v>0.155</v>
      </c>
      <c r="E28" s="484">
        <v>16.96</v>
      </c>
      <c r="F28" s="485">
        <f>ROUND(D28*E28,2)</f>
        <v>2.63</v>
      </c>
    </row>
    <row r="29" spans="4:6">
      <c r="D29" s="479" t="s">
        <v>779</v>
      </c>
      <c r="E29" s="479"/>
      <c r="F29" s="480">
        <f>SUM(F27:F28)</f>
        <v>23.11</v>
      </c>
    </row>
    <row r="30" spans="4:6">
      <c r="D30" s="486"/>
      <c r="E30" s="486"/>
      <c r="F30" s="487"/>
    </row>
    <row r="31" spans="1:8">
      <c r="A31" s="463" t="s">
        <v>76</v>
      </c>
      <c r="B31" s="464" t="s">
        <v>821</v>
      </c>
      <c r="C31" s="465"/>
      <c r="D31" s="466"/>
      <c r="E31" s="467" t="s">
        <v>800</v>
      </c>
      <c r="F31" s="467" t="s">
        <v>502</v>
      </c>
      <c r="H31" t="s">
        <v>822</v>
      </c>
    </row>
    <row r="32" spans="1:6">
      <c r="A32" s="468" t="s">
        <v>803</v>
      </c>
      <c r="B32" s="469" t="s">
        <v>804</v>
      </c>
      <c r="C32" s="469" t="s">
        <v>805</v>
      </c>
      <c r="D32" s="469" t="s">
        <v>8</v>
      </c>
      <c r="E32" s="469" t="s">
        <v>9</v>
      </c>
      <c r="F32" s="469" t="s">
        <v>10</v>
      </c>
    </row>
    <row r="33" spans="1:6">
      <c r="A33" s="470">
        <v>88316</v>
      </c>
      <c r="B33" s="471" t="s">
        <v>823</v>
      </c>
      <c r="C33" s="472" t="s">
        <v>807</v>
      </c>
      <c r="D33" s="473">
        <v>0.2</v>
      </c>
      <c r="E33" s="474">
        <v>13.21</v>
      </c>
      <c r="F33" s="475">
        <f>ROUND(D33*E33,2)</f>
        <v>2.64</v>
      </c>
    </row>
    <row r="34" spans="1:6">
      <c r="A34" s="470">
        <v>88309</v>
      </c>
      <c r="B34" s="471" t="s">
        <v>824</v>
      </c>
      <c r="C34" s="472" t="s">
        <v>807</v>
      </c>
      <c r="D34" s="473">
        <v>0.2</v>
      </c>
      <c r="E34" s="474">
        <v>18.99</v>
      </c>
      <c r="F34" s="475">
        <f>ROUND(D34*E34,2)</f>
        <v>3.8</v>
      </c>
    </row>
    <row r="35" spans="1:6">
      <c r="A35" s="488"/>
      <c r="B35" s="489"/>
      <c r="C35" s="490"/>
      <c r="D35" s="479" t="s">
        <v>779</v>
      </c>
      <c r="E35" s="479"/>
      <c r="F35" s="480">
        <f>SUM(F33:F34)</f>
        <v>6.44</v>
      </c>
    </row>
    <row r="36" spans="1:6">
      <c r="A36" s="491"/>
      <c r="B36" s="492"/>
      <c r="C36" s="492"/>
      <c r="D36" s="492"/>
      <c r="E36" s="492"/>
      <c r="F36" s="492"/>
    </row>
    <row r="37" ht="53.25" customHeight="1" spans="1:6">
      <c r="A37" s="463" t="s">
        <v>309</v>
      </c>
      <c r="B37" s="464" t="s">
        <v>825</v>
      </c>
      <c r="C37" s="465"/>
      <c r="D37" s="466"/>
      <c r="E37" s="467" t="s">
        <v>800</v>
      </c>
      <c r="F37" s="467" t="s">
        <v>826</v>
      </c>
    </row>
    <row r="38" spans="1:6">
      <c r="A38" s="468" t="s">
        <v>803</v>
      </c>
      <c r="B38" s="469" t="s">
        <v>804</v>
      </c>
      <c r="C38" s="469" t="s">
        <v>805</v>
      </c>
      <c r="D38" s="469" t="s">
        <v>8</v>
      </c>
      <c r="E38" s="469" t="s">
        <v>9</v>
      </c>
      <c r="F38" s="469" t="s">
        <v>10</v>
      </c>
    </row>
    <row r="39" ht="76.5" spans="1:6">
      <c r="A39" s="470">
        <v>91314</v>
      </c>
      <c r="B39" s="471" t="s">
        <v>827</v>
      </c>
      <c r="C39" s="472" t="s">
        <v>21</v>
      </c>
      <c r="D39" s="493">
        <v>2</v>
      </c>
      <c r="E39" s="474">
        <v>579.3</v>
      </c>
      <c r="F39" s="475">
        <f>ROUND(E39*D39,2)</f>
        <v>1158.6</v>
      </c>
    </row>
    <row r="40" spans="1:6">
      <c r="A40" s="491"/>
      <c r="B40" s="492"/>
      <c r="C40" s="492"/>
      <c r="D40" s="479" t="s">
        <v>779</v>
      </c>
      <c r="E40" s="479"/>
      <c r="F40" s="480">
        <f>SUM(F39:F39)</f>
        <v>1158.6</v>
      </c>
    </row>
    <row r="41" spans="1:6">
      <c r="A41" s="491"/>
      <c r="B41" s="492"/>
      <c r="C41" s="492"/>
      <c r="D41" s="492"/>
      <c r="E41" s="492"/>
      <c r="F41" s="492"/>
    </row>
    <row r="42" ht="25.5" spans="1:6">
      <c r="A42" s="463" t="s">
        <v>828</v>
      </c>
      <c r="B42" s="464" t="s">
        <v>829</v>
      </c>
      <c r="C42" s="465"/>
      <c r="D42" s="466"/>
      <c r="E42" s="467" t="s">
        <v>830</v>
      </c>
      <c r="F42" s="467" t="s">
        <v>805</v>
      </c>
    </row>
    <row r="43" spans="1:6">
      <c r="A43" s="468" t="s">
        <v>803</v>
      </c>
      <c r="B43" s="469" t="s">
        <v>804</v>
      </c>
      <c r="C43" s="469" t="s">
        <v>805</v>
      </c>
      <c r="D43" s="469" t="s">
        <v>8</v>
      </c>
      <c r="E43" s="469" t="s">
        <v>9</v>
      </c>
      <c r="F43" s="469" t="s">
        <v>10</v>
      </c>
    </row>
    <row r="44" spans="1:6">
      <c r="A44" s="494" t="s">
        <v>831</v>
      </c>
      <c r="B44" s="495" t="s">
        <v>832</v>
      </c>
      <c r="C44" s="496" t="s">
        <v>811</v>
      </c>
      <c r="D44" s="497">
        <v>0.45</v>
      </c>
      <c r="E44" s="498">
        <v>16.96</v>
      </c>
      <c r="F44" s="498">
        <f>ROUND(D44*E44,2)</f>
        <v>7.63</v>
      </c>
    </row>
    <row r="45" ht="51" spans="1:6">
      <c r="A45" s="494" t="s">
        <v>833</v>
      </c>
      <c r="B45" s="495" t="s">
        <v>834</v>
      </c>
      <c r="C45" s="496" t="s">
        <v>835</v>
      </c>
      <c r="D45" s="497">
        <v>2</v>
      </c>
      <c r="E45" s="498">
        <v>236.67</v>
      </c>
      <c r="F45" s="498">
        <f>ROUND(D45*E45,2)</f>
        <v>473.34</v>
      </c>
    </row>
    <row r="46" ht="25.5" spans="1:6">
      <c r="A46" s="494" t="s">
        <v>836</v>
      </c>
      <c r="B46" s="495" t="s">
        <v>837</v>
      </c>
      <c r="C46" s="499" t="s">
        <v>502</v>
      </c>
      <c r="D46" s="497">
        <v>4.2</v>
      </c>
      <c r="E46" s="498">
        <v>183.98</v>
      </c>
      <c r="F46" s="498">
        <f>ROUND(D46*E46,2)</f>
        <v>772.72</v>
      </c>
    </row>
    <row r="47" spans="1:6">
      <c r="A47" s="494" t="s">
        <v>838</v>
      </c>
      <c r="B47" s="495" t="s">
        <v>839</v>
      </c>
      <c r="C47" s="496" t="s">
        <v>805</v>
      </c>
      <c r="D47" s="497">
        <v>2</v>
      </c>
      <c r="E47" s="498">
        <v>706.27</v>
      </c>
      <c r="F47" s="498">
        <f>ROUND(D47*E47,2)</f>
        <v>1412.54</v>
      </c>
    </row>
    <row r="48" ht="25.5" spans="1:6">
      <c r="A48" s="494" t="s">
        <v>840</v>
      </c>
      <c r="B48" s="495" t="s">
        <v>841</v>
      </c>
      <c r="C48" s="496" t="s">
        <v>805</v>
      </c>
      <c r="D48" s="497">
        <v>2</v>
      </c>
      <c r="E48" s="498">
        <v>7.82</v>
      </c>
      <c r="F48" s="498">
        <f>ROUND(D48*E48,2)</f>
        <v>15.64</v>
      </c>
    </row>
    <row r="49" spans="1:6">
      <c r="A49" s="500"/>
      <c r="B49" s="501"/>
      <c r="C49" s="501"/>
      <c r="D49" s="479" t="s">
        <v>779</v>
      </c>
      <c r="E49" s="479"/>
      <c r="F49" s="480">
        <f>SUM(F44:F48)</f>
        <v>2681.87</v>
      </c>
    </row>
    <row r="50" spans="1:6">
      <c r="A50" s="491"/>
      <c r="B50" s="492"/>
      <c r="C50" s="492"/>
      <c r="D50" s="492"/>
      <c r="E50" s="492"/>
      <c r="F50" s="492"/>
    </row>
    <row r="51" spans="1:6">
      <c r="A51" s="463" t="s">
        <v>357</v>
      </c>
      <c r="B51" s="464" t="s">
        <v>842</v>
      </c>
      <c r="C51" s="465"/>
      <c r="D51" s="466"/>
      <c r="E51" s="467" t="s">
        <v>800</v>
      </c>
      <c r="F51" s="467" t="s">
        <v>502</v>
      </c>
    </row>
    <row r="52" spans="1:6">
      <c r="A52" s="468" t="s">
        <v>803</v>
      </c>
      <c r="B52" s="469" t="s">
        <v>804</v>
      </c>
      <c r="C52" s="469" t="s">
        <v>805</v>
      </c>
      <c r="D52" s="469" t="s">
        <v>8</v>
      </c>
      <c r="E52" s="469" t="s">
        <v>9</v>
      </c>
      <c r="F52" s="469" t="s">
        <v>10</v>
      </c>
    </row>
    <row r="53" ht="25.5" spans="1:6">
      <c r="A53" s="502" t="str">
        <f>'PB VII - Cotação'!A109</f>
        <v>COTAÇÃO 026</v>
      </c>
      <c r="B53" s="503" t="s">
        <v>843</v>
      </c>
      <c r="C53" s="504" t="s">
        <v>502</v>
      </c>
      <c r="D53" s="505">
        <v>1</v>
      </c>
      <c r="E53" s="506">
        <f>'PB VII - Cotação'!F111</f>
        <v>83.96</v>
      </c>
      <c r="F53" s="475">
        <f>ROUND(D53*E53,2)</f>
        <v>83.96</v>
      </c>
    </row>
    <row r="54" spans="1:6">
      <c r="A54" s="476"/>
      <c r="B54" s="477"/>
      <c r="C54" s="478"/>
      <c r="D54" s="479" t="s">
        <v>779</v>
      </c>
      <c r="E54" s="479"/>
      <c r="F54" s="480">
        <f>SUM(F53:F53)</f>
        <v>83.96</v>
      </c>
    </row>
    <row r="55" spans="1:3">
      <c r="A55" s="488"/>
      <c r="B55" s="489"/>
      <c r="C55" s="490"/>
    </row>
    <row r="56" spans="1:7">
      <c r="A56" s="463" t="s">
        <v>368</v>
      </c>
      <c r="B56" s="464" t="s">
        <v>844</v>
      </c>
      <c r="C56" s="465"/>
      <c r="D56" s="466"/>
      <c r="E56" s="467" t="s">
        <v>800</v>
      </c>
      <c r="F56" s="467" t="s">
        <v>845</v>
      </c>
      <c r="G56" t="s">
        <v>846</v>
      </c>
    </row>
    <row r="57" spans="1:6">
      <c r="A57" s="468" t="s">
        <v>803</v>
      </c>
      <c r="B57" s="469" t="s">
        <v>804</v>
      </c>
      <c r="C57" s="469" t="s">
        <v>805</v>
      </c>
      <c r="D57" s="469" t="s">
        <v>8</v>
      </c>
      <c r="E57" s="469" t="s">
        <v>9</v>
      </c>
      <c r="F57" s="469" t="s">
        <v>10</v>
      </c>
    </row>
    <row r="58" spans="1:6">
      <c r="A58" s="470">
        <v>88316</v>
      </c>
      <c r="B58" s="471" t="s">
        <v>823</v>
      </c>
      <c r="C58" s="472" t="s">
        <v>807</v>
      </c>
      <c r="D58" s="473">
        <v>0.2</v>
      </c>
      <c r="E58" s="474">
        <v>13.21</v>
      </c>
      <c r="F58" s="475">
        <f>ROUND(D58*E58,2)</f>
        <v>2.64</v>
      </c>
    </row>
    <row r="59" spans="1:6">
      <c r="A59" s="470">
        <v>88309</v>
      </c>
      <c r="B59" s="471" t="s">
        <v>824</v>
      </c>
      <c r="C59" s="472" t="s">
        <v>807</v>
      </c>
      <c r="D59" s="473">
        <v>0.2</v>
      </c>
      <c r="E59" s="474">
        <v>18.99</v>
      </c>
      <c r="F59" s="475">
        <f>ROUND(D59*E59,2)</f>
        <v>3.8</v>
      </c>
    </row>
    <row r="60" spans="1:6">
      <c r="A60" s="470">
        <v>88245</v>
      </c>
      <c r="B60" s="471" t="s">
        <v>847</v>
      </c>
      <c r="C60" s="472" t="s">
        <v>807</v>
      </c>
      <c r="D60" s="473">
        <v>0.36</v>
      </c>
      <c r="E60" s="474">
        <v>18.89</v>
      </c>
      <c r="F60" s="475">
        <f t="shared" ref="F60:F62" si="0">ROUND(D60*E60,2)</f>
        <v>6.8</v>
      </c>
    </row>
    <row r="61" spans="1:6">
      <c r="A61" s="470">
        <v>88239</v>
      </c>
      <c r="B61" s="471" t="s">
        <v>813</v>
      </c>
      <c r="C61" s="472" t="s">
        <v>807</v>
      </c>
      <c r="D61" s="473">
        <v>0.33</v>
      </c>
      <c r="E61" s="474">
        <v>15.38</v>
      </c>
      <c r="F61" s="475">
        <f t="shared" si="0"/>
        <v>5.08</v>
      </c>
    </row>
    <row r="62" spans="1:6">
      <c r="A62" s="470">
        <v>4720</v>
      </c>
      <c r="B62" s="471" t="s">
        <v>848</v>
      </c>
      <c r="C62" s="472" t="s">
        <v>56</v>
      </c>
      <c r="D62" s="473">
        <v>0.012</v>
      </c>
      <c r="E62" s="474">
        <v>108.53</v>
      </c>
      <c r="F62" s="475">
        <f t="shared" si="0"/>
        <v>1.3</v>
      </c>
    </row>
    <row r="63" spans="1:6">
      <c r="A63" s="470">
        <v>5063</v>
      </c>
      <c r="B63" s="471" t="s">
        <v>849</v>
      </c>
      <c r="C63" s="472" t="s">
        <v>95</v>
      </c>
      <c r="D63" s="473">
        <v>0.035</v>
      </c>
      <c r="E63" s="474">
        <v>9.65</v>
      </c>
      <c r="F63" s="475">
        <f t="shared" ref="F63:F69" si="1">ROUND(D63*E63,2)</f>
        <v>0.34</v>
      </c>
    </row>
    <row r="64" spans="1:6">
      <c r="A64" s="470">
        <v>367</v>
      </c>
      <c r="B64" s="471" t="s">
        <v>850</v>
      </c>
      <c r="C64" s="472" t="s">
        <v>56</v>
      </c>
      <c r="D64" s="473">
        <v>0.0035</v>
      </c>
      <c r="E64" s="474">
        <v>26.67</v>
      </c>
      <c r="F64" s="475">
        <f t="shared" si="1"/>
        <v>0.09</v>
      </c>
    </row>
    <row r="65" spans="1:6">
      <c r="A65" s="470">
        <v>1379</v>
      </c>
      <c r="B65" s="471" t="s">
        <v>851</v>
      </c>
      <c r="C65" s="472" t="s">
        <v>95</v>
      </c>
      <c r="D65" s="473">
        <v>3.25</v>
      </c>
      <c r="E65" s="474">
        <v>0.74</v>
      </c>
      <c r="F65" s="475">
        <f t="shared" si="1"/>
        <v>2.41</v>
      </c>
    </row>
    <row r="66" spans="1:6">
      <c r="A66" s="470">
        <v>2692</v>
      </c>
      <c r="B66" s="471" t="s">
        <v>852</v>
      </c>
      <c r="C66" s="472" t="s">
        <v>853</v>
      </c>
      <c r="D66" s="473">
        <v>0.2</v>
      </c>
      <c r="E66" s="474">
        <v>7</v>
      </c>
      <c r="F66" s="475">
        <f t="shared" si="1"/>
        <v>1.4</v>
      </c>
    </row>
    <row r="67" spans="1:6">
      <c r="A67" s="470">
        <v>334</v>
      </c>
      <c r="B67" s="471" t="s">
        <v>854</v>
      </c>
      <c r="C67" s="472" t="s">
        <v>95</v>
      </c>
      <c r="D67" s="473">
        <v>0.225</v>
      </c>
      <c r="E67" s="474">
        <v>10.93</v>
      </c>
      <c r="F67" s="475">
        <f t="shared" si="1"/>
        <v>2.46</v>
      </c>
    </row>
    <row r="68" spans="1:6">
      <c r="A68" s="470">
        <v>32</v>
      </c>
      <c r="B68" s="471" t="s">
        <v>855</v>
      </c>
      <c r="C68" s="472" t="s">
        <v>95</v>
      </c>
      <c r="D68" s="473">
        <v>11.445</v>
      </c>
      <c r="E68" s="474">
        <v>4.19</v>
      </c>
      <c r="F68" s="475">
        <f t="shared" si="1"/>
        <v>47.95</v>
      </c>
    </row>
    <row r="69" spans="1:6">
      <c r="A69" s="470">
        <v>1346</v>
      </c>
      <c r="B69" s="471" t="s">
        <v>856</v>
      </c>
      <c r="C69" s="472" t="s">
        <v>17</v>
      </c>
      <c r="D69" s="473">
        <v>0.35</v>
      </c>
      <c r="E69" s="474">
        <v>31.38</v>
      </c>
      <c r="F69" s="475">
        <f t="shared" si="1"/>
        <v>10.98</v>
      </c>
    </row>
    <row r="70" spans="1:6">
      <c r="A70" s="476"/>
      <c r="B70" s="477"/>
      <c r="C70" s="478"/>
      <c r="D70" s="479" t="s">
        <v>779</v>
      </c>
      <c r="E70" s="479"/>
      <c r="F70" s="480">
        <f>SUM(F58:F69)</f>
        <v>85.25</v>
      </c>
    </row>
    <row r="71" spans="1:3">
      <c r="A71" s="488"/>
      <c r="B71" s="489"/>
      <c r="C71" s="490"/>
    </row>
    <row r="72" spans="1:6">
      <c r="A72" s="463" t="s">
        <v>474</v>
      </c>
      <c r="B72" s="464" t="s">
        <v>857</v>
      </c>
      <c r="C72" s="465"/>
      <c r="D72" s="466"/>
      <c r="E72" s="467" t="s">
        <v>800</v>
      </c>
      <c r="F72" s="467" t="s">
        <v>801</v>
      </c>
    </row>
    <row r="73" spans="1:6">
      <c r="A73" s="468" t="s">
        <v>803</v>
      </c>
      <c r="B73" s="469" t="s">
        <v>804</v>
      </c>
      <c r="C73" s="469" t="s">
        <v>805</v>
      </c>
      <c r="D73" s="469" t="s">
        <v>8</v>
      </c>
      <c r="E73" s="469" t="s">
        <v>9</v>
      </c>
      <c r="F73" s="469" t="s">
        <v>10</v>
      </c>
    </row>
    <row r="74" spans="1:6">
      <c r="A74" s="508">
        <v>10431</v>
      </c>
      <c r="B74" s="471" t="s">
        <v>858</v>
      </c>
      <c r="C74" s="472" t="s">
        <v>21</v>
      </c>
      <c r="D74" s="473">
        <v>1</v>
      </c>
      <c r="E74" s="474">
        <v>137.1</v>
      </c>
      <c r="F74" s="475">
        <f>ROUND(D74*E74,2)</f>
        <v>137.1</v>
      </c>
    </row>
    <row r="75" ht="25.5" spans="1:6">
      <c r="A75" s="508" t="s">
        <v>859</v>
      </c>
      <c r="B75" s="471" t="s">
        <v>860</v>
      </c>
      <c r="C75" s="472" t="s">
        <v>95</v>
      </c>
      <c r="D75" s="473">
        <v>1.8</v>
      </c>
      <c r="E75" s="474">
        <v>0.49</v>
      </c>
      <c r="F75" s="475">
        <f t="shared" ref="F75:F85" si="2">ROUND(D75*E75,2)</f>
        <v>0.88</v>
      </c>
    </row>
    <row r="76" spans="1:6">
      <c r="A76" s="508" t="s">
        <v>861</v>
      </c>
      <c r="B76" s="471" t="s">
        <v>862</v>
      </c>
      <c r="C76" s="472" t="s">
        <v>95</v>
      </c>
      <c r="D76" s="473">
        <v>0.5</v>
      </c>
      <c r="E76" s="474">
        <v>4.36</v>
      </c>
      <c r="F76" s="475">
        <f t="shared" si="2"/>
        <v>2.18</v>
      </c>
    </row>
    <row r="77" spans="1:6">
      <c r="A77" s="508" t="s">
        <v>863</v>
      </c>
      <c r="B77" s="471" t="s">
        <v>864</v>
      </c>
      <c r="C77" s="472" t="s">
        <v>865</v>
      </c>
      <c r="D77" s="473">
        <v>2</v>
      </c>
      <c r="E77" s="474">
        <v>168.89</v>
      </c>
      <c r="F77" s="475">
        <f t="shared" si="2"/>
        <v>337.78</v>
      </c>
    </row>
    <row r="78" spans="1:6">
      <c r="A78" s="508" t="s">
        <v>866</v>
      </c>
      <c r="B78" s="471" t="s">
        <v>867</v>
      </c>
      <c r="C78" s="472" t="s">
        <v>865</v>
      </c>
      <c r="D78" s="473">
        <v>1</v>
      </c>
      <c r="E78" s="474">
        <v>28.81</v>
      </c>
      <c r="F78" s="475">
        <f t="shared" si="2"/>
        <v>28.81</v>
      </c>
    </row>
    <row r="79" spans="1:6">
      <c r="A79" s="508" t="s">
        <v>868</v>
      </c>
      <c r="B79" s="471" t="s">
        <v>869</v>
      </c>
      <c r="C79" s="472" t="s">
        <v>865</v>
      </c>
      <c r="D79" s="473">
        <v>1</v>
      </c>
      <c r="E79" s="474">
        <v>102.97</v>
      </c>
      <c r="F79" s="475">
        <f t="shared" si="2"/>
        <v>102.97</v>
      </c>
    </row>
    <row r="80" spans="1:6">
      <c r="A80" s="508" t="s">
        <v>870</v>
      </c>
      <c r="B80" s="471" t="s">
        <v>871</v>
      </c>
      <c r="C80" s="472" t="s">
        <v>865</v>
      </c>
      <c r="D80" s="473">
        <v>1</v>
      </c>
      <c r="E80" s="474">
        <v>3.33</v>
      </c>
      <c r="F80" s="475">
        <f t="shared" si="2"/>
        <v>3.33</v>
      </c>
    </row>
    <row r="81" spans="1:6">
      <c r="A81" s="508" t="s">
        <v>872</v>
      </c>
      <c r="B81" s="471" t="s">
        <v>873</v>
      </c>
      <c r="C81" s="472" t="s">
        <v>865</v>
      </c>
      <c r="D81" s="473">
        <v>1</v>
      </c>
      <c r="E81" s="474">
        <v>114.8</v>
      </c>
      <c r="F81" s="475">
        <f t="shared" si="2"/>
        <v>114.8</v>
      </c>
    </row>
    <row r="82" spans="1:6">
      <c r="A82" s="508" t="s">
        <v>874</v>
      </c>
      <c r="B82" s="471" t="s">
        <v>875</v>
      </c>
      <c r="C82" s="472" t="s">
        <v>865</v>
      </c>
      <c r="D82" s="473">
        <v>1</v>
      </c>
      <c r="E82" s="474">
        <v>28.7</v>
      </c>
      <c r="F82" s="475">
        <f t="shared" si="2"/>
        <v>28.7</v>
      </c>
    </row>
    <row r="83" ht="25.5" spans="1:6">
      <c r="A83" s="508" t="s">
        <v>876</v>
      </c>
      <c r="B83" s="471" t="s">
        <v>877</v>
      </c>
      <c r="C83" s="472" t="s">
        <v>865</v>
      </c>
      <c r="D83" s="473">
        <v>2</v>
      </c>
      <c r="E83" s="474">
        <v>7.7</v>
      </c>
      <c r="F83" s="475">
        <f t="shared" si="2"/>
        <v>15.4</v>
      </c>
    </row>
    <row r="84" spans="1:6">
      <c r="A84" s="508">
        <v>88309</v>
      </c>
      <c r="B84" s="471" t="s">
        <v>817</v>
      </c>
      <c r="C84" s="472" t="s">
        <v>811</v>
      </c>
      <c r="D84" s="473">
        <v>1.1</v>
      </c>
      <c r="E84" s="474">
        <v>18.99</v>
      </c>
      <c r="F84" s="475">
        <f t="shared" si="2"/>
        <v>20.89</v>
      </c>
    </row>
    <row r="85" spans="1:6">
      <c r="A85" s="508">
        <v>88242</v>
      </c>
      <c r="B85" s="471" t="s">
        <v>878</v>
      </c>
      <c r="C85" s="472" t="s">
        <v>811</v>
      </c>
      <c r="D85" s="473">
        <v>1.1</v>
      </c>
      <c r="E85" s="474">
        <v>15.05</v>
      </c>
      <c r="F85" s="475">
        <f t="shared" si="2"/>
        <v>16.56</v>
      </c>
    </row>
    <row r="86" spans="1:6">
      <c r="A86" s="488"/>
      <c r="B86" s="489"/>
      <c r="C86" s="490"/>
      <c r="D86" s="479" t="s">
        <v>779</v>
      </c>
      <c r="E86" s="479"/>
      <c r="F86" s="480">
        <f>SUM(F74:F85)</f>
        <v>809.4</v>
      </c>
    </row>
    <row r="88" spans="1:6">
      <c r="A88" s="463" t="s">
        <v>477</v>
      </c>
      <c r="B88" s="464" t="s">
        <v>879</v>
      </c>
      <c r="C88" s="465"/>
      <c r="D88" s="466"/>
      <c r="E88" s="467" t="s">
        <v>800</v>
      </c>
      <c r="F88" s="467" t="s">
        <v>801</v>
      </c>
    </row>
    <row r="89" spans="1:6">
      <c r="A89" s="468" t="s">
        <v>803</v>
      </c>
      <c r="B89" s="469" t="s">
        <v>804</v>
      </c>
      <c r="C89" s="469" t="s">
        <v>805</v>
      </c>
      <c r="D89" s="469" t="s">
        <v>8</v>
      </c>
      <c r="E89" s="469" t="s">
        <v>9</v>
      </c>
      <c r="F89" s="469" t="s">
        <v>10</v>
      </c>
    </row>
    <row r="90" spans="1:6">
      <c r="A90" s="508">
        <v>10422</v>
      </c>
      <c r="B90" s="471" t="s">
        <v>880</v>
      </c>
      <c r="C90" s="472" t="s">
        <v>17</v>
      </c>
      <c r="D90" s="473">
        <v>1</v>
      </c>
      <c r="E90" s="474">
        <v>225.17</v>
      </c>
      <c r="F90" s="475">
        <f>ROUND(D90*E90,2)</f>
        <v>225.17</v>
      </c>
    </row>
    <row r="91" spans="1:6">
      <c r="A91" s="508" t="s">
        <v>881</v>
      </c>
      <c r="B91" s="471" t="s">
        <v>882</v>
      </c>
      <c r="C91" s="472" t="s">
        <v>865</v>
      </c>
      <c r="D91" s="473">
        <v>1</v>
      </c>
      <c r="E91" s="474">
        <v>18</v>
      </c>
      <c r="F91" s="475">
        <f t="shared" ref="F91:F98" si="3">ROUND(D91*E91,2)</f>
        <v>18</v>
      </c>
    </row>
    <row r="92" ht="25.5" spans="1:6">
      <c r="A92" s="508" t="s">
        <v>859</v>
      </c>
      <c r="B92" s="471" t="s">
        <v>860</v>
      </c>
      <c r="C92" s="472" t="s">
        <v>95</v>
      </c>
      <c r="D92" s="473">
        <v>2</v>
      </c>
      <c r="E92" s="474">
        <v>0.49</v>
      </c>
      <c r="F92" s="475">
        <f t="shared" si="3"/>
        <v>0.98</v>
      </c>
    </row>
    <row r="93" spans="1:6">
      <c r="A93" s="508" t="s">
        <v>883</v>
      </c>
      <c r="B93" s="471" t="s">
        <v>862</v>
      </c>
      <c r="C93" s="472" t="s">
        <v>95</v>
      </c>
      <c r="D93" s="473">
        <v>0.6</v>
      </c>
      <c r="E93" s="474">
        <v>4.36</v>
      </c>
      <c r="F93" s="475">
        <f t="shared" si="3"/>
        <v>2.62</v>
      </c>
    </row>
    <row r="94" spans="1:6">
      <c r="A94" s="508" t="s">
        <v>884</v>
      </c>
      <c r="B94" s="471" t="s">
        <v>885</v>
      </c>
      <c r="C94" s="472" t="s">
        <v>865</v>
      </c>
      <c r="D94" s="473">
        <v>2</v>
      </c>
      <c r="E94" s="474">
        <v>200</v>
      </c>
      <c r="F94" s="475">
        <f t="shared" si="3"/>
        <v>400</v>
      </c>
    </row>
    <row r="95" spans="1:6">
      <c r="A95" s="508" t="s">
        <v>866</v>
      </c>
      <c r="B95" s="471" t="s">
        <v>867</v>
      </c>
      <c r="C95" s="472" t="s">
        <v>865</v>
      </c>
      <c r="D95" s="473">
        <v>1</v>
      </c>
      <c r="E95" s="474">
        <v>28.81</v>
      </c>
      <c r="F95" s="475">
        <f t="shared" si="3"/>
        <v>28.81</v>
      </c>
    </row>
    <row r="96" ht="38.25" spans="1:6">
      <c r="A96" s="508" t="s">
        <v>876</v>
      </c>
      <c r="B96" s="471" t="s">
        <v>886</v>
      </c>
      <c r="C96" s="472" t="s">
        <v>865</v>
      </c>
      <c r="D96" s="473">
        <v>2</v>
      </c>
      <c r="E96" s="474">
        <v>7.7</v>
      </c>
      <c r="F96" s="475">
        <f t="shared" si="3"/>
        <v>15.4</v>
      </c>
    </row>
    <row r="97" spans="1:6">
      <c r="A97" s="508">
        <v>88309</v>
      </c>
      <c r="B97" s="471" t="s">
        <v>817</v>
      </c>
      <c r="C97" s="472" t="s">
        <v>811</v>
      </c>
      <c r="D97" s="473">
        <v>1.5</v>
      </c>
      <c r="E97" s="474">
        <v>18.99</v>
      </c>
      <c r="F97" s="475">
        <f t="shared" si="3"/>
        <v>28.49</v>
      </c>
    </row>
    <row r="98" spans="1:6">
      <c r="A98" s="508">
        <v>88242</v>
      </c>
      <c r="B98" s="471" t="s">
        <v>878</v>
      </c>
      <c r="C98" s="472" t="s">
        <v>811</v>
      </c>
      <c r="D98" s="473">
        <v>1.5</v>
      </c>
      <c r="E98" s="474">
        <v>15.05</v>
      </c>
      <c r="F98" s="475">
        <f t="shared" si="3"/>
        <v>22.58</v>
      </c>
    </row>
    <row r="99" spans="1:6">
      <c r="A99" s="488"/>
      <c r="B99" s="489"/>
      <c r="C99" s="490"/>
      <c r="D99" s="479" t="s">
        <v>779</v>
      </c>
      <c r="E99" s="479"/>
      <c r="F99" s="480">
        <f>SUM(F90:F98)</f>
        <v>742.05</v>
      </c>
    </row>
    <row r="100" spans="1:6">
      <c r="A100" s="491"/>
      <c r="B100" s="492"/>
      <c r="C100" s="492"/>
      <c r="D100" s="492"/>
      <c r="E100" s="492"/>
      <c r="F100" s="492"/>
    </row>
    <row r="101" ht="24" customHeight="1" spans="1:6">
      <c r="A101" s="463" t="s">
        <v>505</v>
      </c>
      <c r="B101" s="464" t="s">
        <v>507</v>
      </c>
      <c r="C101" s="465"/>
      <c r="D101" s="466"/>
      <c r="E101" s="467" t="s">
        <v>800</v>
      </c>
      <c r="F101" s="467" t="s">
        <v>120</v>
      </c>
    </row>
    <row r="102" spans="1:6">
      <c r="A102" s="468" t="s">
        <v>803</v>
      </c>
      <c r="B102" s="469" t="s">
        <v>804</v>
      </c>
      <c r="C102" s="469" t="s">
        <v>805</v>
      </c>
      <c r="D102" s="469" t="s">
        <v>8</v>
      </c>
      <c r="E102" s="469" t="s">
        <v>9</v>
      </c>
      <c r="F102" s="469" t="s">
        <v>10</v>
      </c>
    </row>
    <row r="103" ht="25.5" spans="1:6">
      <c r="A103" s="470">
        <v>142</v>
      </c>
      <c r="B103" s="471" t="s">
        <v>887</v>
      </c>
      <c r="C103" s="472" t="s">
        <v>888</v>
      </c>
      <c r="D103" s="473">
        <f>0.161*1.3</f>
        <v>0.2093</v>
      </c>
      <c r="E103" s="474">
        <v>35.57</v>
      </c>
      <c r="F103" s="475">
        <f>ROUND(D103*E103,2)</f>
        <v>7.44</v>
      </c>
    </row>
    <row r="104" spans="1:6">
      <c r="A104" s="470">
        <v>5061</v>
      </c>
      <c r="B104" s="471" t="s">
        <v>889</v>
      </c>
      <c r="C104" s="472" t="s">
        <v>890</v>
      </c>
      <c r="D104" s="473">
        <f>0.025*1.3</f>
        <v>0.0325</v>
      </c>
      <c r="E104" s="474">
        <v>7.95</v>
      </c>
      <c r="F104" s="475">
        <f t="shared" ref="F104:F111" si="4">ROUND(D104*E104,2)</f>
        <v>0.26</v>
      </c>
    </row>
    <row r="105" ht="25.5" spans="1:6">
      <c r="A105" s="470">
        <v>5104</v>
      </c>
      <c r="B105" s="471" t="s">
        <v>891</v>
      </c>
      <c r="C105" s="472" t="s">
        <v>890</v>
      </c>
      <c r="D105" s="473">
        <f>1.3*0.0049</f>
        <v>0.00637</v>
      </c>
      <c r="E105" s="474">
        <v>50.46</v>
      </c>
      <c r="F105" s="475">
        <f t="shared" si="4"/>
        <v>0.32</v>
      </c>
    </row>
    <row r="106" spans="1:6">
      <c r="A106" s="470">
        <v>13388</v>
      </c>
      <c r="B106" s="471" t="s">
        <v>892</v>
      </c>
      <c r="C106" s="472" t="s">
        <v>890</v>
      </c>
      <c r="D106" s="473">
        <f>0.18*1.3</f>
        <v>0.234</v>
      </c>
      <c r="E106" s="474">
        <v>58.39</v>
      </c>
      <c r="F106" s="475">
        <f t="shared" si="4"/>
        <v>13.66</v>
      </c>
    </row>
    <row r="107" ht="25.5" spans="1:6">
      <c r="A107" s="470">
        <v>40871</v>
      </c>
      <c r="B107" s="471" t="s">
        <v>893</v>
      </c>
      <c r="C107" s="472" t="s">
        <v>845</v>
      </c>
      <c r="D107" s="473">
        <v>1.05</v>
      </c>
      <c r="E107" s="474">
        <v>49.71</v>
      </c>
      <c r="F107" s="475">
        <f t="shared" si="4"/>
        <v>52.2</v>
      </c>
    </row>
    <row r="108" spans="1:6">
      <c r="A108" s="470">
        <v>88316</v>
      </c>
      <c r="B108" s="471" t="s">
        <v>894</v>
      </c>
      <c r="C108" s="472" t="s">
        <v>811</v>
      </c>
      <c r="D108" s="473">
        <v>0.633</v>
      </c>
      <c r="E108" s="474">
        <v>13.21</v>
      </c>
      <c r="F108" s="475">
        <f t="shared" si="4"/>
        <v>8.36</v>
      </c>
    </row>
    <row r="109" spans="1:6">
      <c r="A109" s="470">
        <v>88323</v>
      </c>
      <c r="B109" s="471" t="s">
        <v>895</v>
      </c>
      <c r="C109" s="472" t="s">
        <v>811</v>
      </c>
      <c r="D109" s="473">
        <v>0.539</v>
      </c>
      <c r="E109" s="474">
        <v>16.96</v>
      </c>
      <c r="F109" s="475">
        <f t="shared" si="4"/>
        <v>9.14</v>
      </c>
    </row>
    <row r="110" ht="38.25" spans="1:6">
      <c r="A110" s="470">
        <v>93281</v>
      </c>
      <c r="B110" s="471" t="s">
        <v>896</v>
      </c>
      <c r="C110" s="472" t="s">
        <v>897</v>
      </c>
      <c r="D110" s="473">
        <v>0.0132</v>
      </c>
      <c r="E110" s="474">
        <v>15.53</v>
      </c>
      <c r="F110" s="475">
        <f t="shared" si="4"/>
        <v>0.2</v>
      </c>
    </row>
    <row r="111" ht="38.25" spans="1:6">
      <c r="A111" s="470">
        <v>93282</v>
      </c>
      <c r="B111" s="471" t="s">
        <v>898</v>
      </c>
      <c r="C111" s="472" t="s">
        <v>899</v>
      </c>
      <c r="D111" s="473">
        <v>0.0183</v>
      </c>
      <c r="E111" s="474">
        <v>15.05</v>
      </c>
      <c r="F111" s="475">
        <f t="shared" si="4"/>
        <v>0.28</v>
      </c>
    </row>
    <row r="112" spans="1:6">
      <c r="A112" s="488"/>
      <c r="B112" s="489"/>
      <c r="C112" s="490"/>
      <c r="D112" s="479" t="s">
        <v>779</v>
      </c>
      <c r="E112" s="479"/>
      <c r="F112" s="480">
        <f>SUM(F103:F111)</f>
        <v>91.86</v>
      </c>
    </row>
    <row r="113" spans="1:6">
      <c r="A113" s="491"/>
      <c r="B113" s="492"/>
      <c r="C113" s="492"/>
      <c r="D113" s="492"/>
      <c r="E113" s="492"/>
      <c r="F113" s="492"/>
    </row>
    <row r="114" spans="1:6">
      <c r="A114" s="463" t="s">
        <v>512</v>
      </c>
      <c r="B114" s="464" t="s">
        <v>900</v>
      </c>
      <c r="C114" s="465"/>
      <c r="D114" s="466"/>
      <c r="E114" s="467" t="s">
        <v>800</v>
      </c>
      <c r="F114" s="467" t="s">
        <v>801</v>
      </c>
    </row>
    <row r="115" spans="1:6">
      <c r="A115" s="468" t="s">
        <v>803</v>
      </c>
      <c r="B115" s="469" t="s">
        <v>804</v>
      </c>
      <c r="C115" s="469" t="s">
        <v>805</v>
      </c>
      <c r="D115" s="469" t="s">
        <v>8</v>
      </c>
      <c r="E115" s="469" t="s">
        <v>9</v>
      </c>
      <c r="F115" s="469" t="s">
        <v>10</v>
      </c>
    </row>
    <row r="116" spans="1:6">
      <c r="A116" s="509">
        <v>89168</v>
      </c>
      <c r="B116" s="510" t="s">
        <v>901</v>
      </c>
      <c r="C116" s="511" t="s">
        <v>17</v>
      </c>
      <c r="D116" s="510">
        <v>1.8</v>
      </c>
      <c r="E116" s="510">
        <v>58.27</v>
      </c>
      <c r="F116" s="510">
        <f>ROUND(D116*E116,2)</f>
        <v>104.89</v>
      </c>
    </row>
    <row r="117" spans="1:6">
      <c r="A117" s="509">
        <v>11235</v>
      </c>
      <c r="B117" s="510" t="s">
        <v>902</v>
      </c>
      <c r="C117" s="511" t="s">
        <v>21</v>
      </c>
      <c r="D117" s="510">
        <v>0.36</v>
      </c>
      <c r="E117" s="510">
        <v>756.53</v>
      </c>
      <c r="F117" s="510">
        <f t="shared" ref="F117:F120" si="5">ROUND(D117*E117,2)</f>
        <v>272.35</v>
      </c>
    </row>
    <row r="118" spans="1:6">
      <c r="A118" s="509">
        <v>93358</v>
      </c>
      <c r="B118" s="510" t="s">
        <v>903</v>
      </c>
      <c r="C118" s="511" t="s">
        <v>56</v>
      </c>
      <c r="D118" s="510">
        <v>0.216</v>
      </c>
      <c r="E118" s="510">
        <v>52.25</v>
      </c>
      <c r="F118" s="510">
        <f t="shared" si="5"/>
        <v>11.29</v>
      </c>
    </row>
    <row r="119" spans="1:6">
      <c r="A119" s="509">
        <v>87879</v>
      </c>
      <c r="B119" s="510" t="s">
        <v>904</v>
      </c>
      <c r="C119" s="511" t="s">
        <v>17</v>
      </c>
      <c r="D119" s="510">
        <v>1.44</v>
      </c>
      <c r="E119" s="510">
        <v>3.05</v>
      </c>
      <c r="F119" s="510">
        <f t="shared" si="5"/>
        <v>4.39</v>
      </c>
    </row>
    <row r="120" spans="1:6">
      <c r="A120" s="509">
        <v>94990</v>
      </c>
      <c r="B120" s="510" t="s">
        <v>905</v>
      </c>
      <c r="C120" s="511" t="s">
        <v>56</v>
      </c>
      <c r="D120" s="510">
        <v>0.03</v>
      </c>
      <c r="E120" s="510">
        <v>601.52</v>
      </c>
      <c r="F120" s="510">
        <f t="shared" si="5"/>
        <v>18.05</v>
      </c>
    </row>
    <row r="121" spans="1:6">
      <c r="A121" s="491"/>
      <c r="B121" s="492"/>
      <c r="C121" s="492"/>
      <c r="D121" s="479" t="s">
        <v>779</v>
      </c>
      <c r="E121" s="479"/>
      <c r="F121" s="480">
        <f>SUM(F116:F120)</f>
        <v>410.97</v>
      </c>
    </row>
    <row r="122" spans="1:6">
      <c r="A122" s="491"/>
      <c r="B122" s="492"/>
      <c r="C122" s="492"/>
      <c r="D122" s="492"/>
      <c r="E122" s="492"/>
      <c r="F122" s="492"/>
    </row>
    <row r="123" spans="1:6">
      <c r="A123" s="463" t="s">
        <v>537</v>
      </c>
      <c r="B123" s="464" t="s">
        <v>906</v>
      </c>
      <c r="C123" s="465"/>
      <c r="D123" s="466"/>
      <c r="E123" s="467" t="s">
        <v>800</v>
      </c>
      <c r="F123" s="467" t="s">
        <v>801</v>
      </c>
    </row>
    <row r="124" spans="1:6">
      <c r="A124" s="468" t="s">
        <v>803</v>
      </c>
      <c r="B124" s="469" t="s">
        <v>804</v>
      </c>
      <c r="C124" s="469" t="s">
        <v>805</v>
      </c>
      <c r="D124" s="469" t="s">
        <v>8</v>
      </c>
      <c r="E124" s="469" t="s">
        <v>9</v>
      </c>
      <c r="F124" s="469" t="s">
        <v>10</v>
      </c>
    </row>
    <row r="125" spans="1:6">
      <c r="A125" s="508" t="s">
        <v>907</v>
      </c>
      <c r="B125" s="471" t="s">
        <v>908</v>
      </c>
      <c r="C125" s="471" t="s">
        <v>865</v>
      </c>
      <c r="D125" s="473">
        <v>1</v>
      </c>
      <c r="E125" s="474">
        <v>28</v>
      </c>
      <c r="F125" s="475">
        <f>ROUND(D125*E125,2)</f>
        <v>28</v>
      </c>
    </row>
    <row r="126" spans="1:6">
      <c r="A126" s="508">
        <v>21127</v>
      </c>
      <c r="B126" s="471" t="s">
        <v>909</v>
      </c>
      <c r="C126" s="471" t="s">
        <v>910</v>
      </c>
      <c r="D126" s="473">
        <v>0.1</v>
      </c>
      <c r="E126" s="474">
        <v>1.89</v>
      </c>
      <c r="F126" s="475">
        <f>ROUND(D126*E126,2)</f>
        <v>0.19</v>
      </c>
    </row>
    <row r="127" spans="1:6">
      <c r="A127" s="508">
        <v>88264</v>
      </c>
      <c r="B127" s="471" t="s">
        <v>911</v>
      </c>
      <c r="C127" s="471" t="s">
        <v>811</v>
      </c>
      <c r="D127" s="473">
        <v>0.2</v>
      </c>
      <c r="E127" s="474">
        <v>19.18</v>
      </c>
      <c r="F127" s="475">
        <f>ROUND(D127*E127,2)</f>
        <v>3.84</v>
      </c>
    </row>
    <row r="128" spans="1:6">
      <c r="A128" s="508">
        <v>88316</v>
      </c>
      <c r="B128" s="512" t="s">
        <v>823</v>
      </c>
      <c r="C128" s="471" t="s">
        <v>811</v>
      </c>
      <c r="D128" s="473">
        <v>0.2</v>
      </c>
      <c r="E128" s="474">
        <v>13.21</v>
      </c>
      <c r="F128" s="475">
        <f>ROUND(D128*E128,2)</f>
        <v>2.64</v>
      </c>
    </row>
    <row r="129" spans="1:6">
      <c r="A129" s="491"/>
      <c r="B129" s="492"/>
      <c r="C129" s="492"/>
      <c r="D129" s="479" t="s">
        <v>779</v>
      </c>
      <c r="E129" s="479"/>
      <c r="F129" s="480">
        <f>SUM(F125:F128)</f>
        <v>34.67</v>
      </c>
    </row>
    <row r="130" spans="1:6">
      <c r="A130" s="491"/>
      <c r="B130" s="492"/>
      <c r="C130" s="492"/>
      <c r="D130" s="492"/>
      <c r="E130" s="492"/>
      <c r="F130" s="492"/>
    </row>
    <row r="131" spans="1:6">
      <c r="A131" s="513" t="s">
        <v>912</v>
      </c>
      <c r="B131" s="514" t="s">
        <v>543</v>
      </c>
      <c r="C131" s="515"/>
      <c r="D131" s="516"/>
      <c r="E131" s="517" t="s">
        <v>800</v>
      </c>
      <c r="F131" s="517" t="s">
        <v>801</v>
      </c>
    </row>
    <row r="132" spans="1:6">
      <c r="A132" s="518" t="s">
        <v>803</v>
      </c>
      <c r="B132" s="519" t="s">
        <v>804</v>
      </c>
      <c r="C132" s="519" t="s">
        <v>805</v>
      </c>
      <c r="D132" s="519" t="s">
        <v>8</v>
      </c>
      <c r="E132" s="519" t="s">
        <v>9</v>
      </c>
      <c r="F132" s="519" t="s">
        <v>10</v>
      </c>
    </row>
    <row r="133" spans="1:6">
      <c r="A133" s="520" t="str">
        <f>'PB VII - Cotação'!A7</f>
        <v>COTAÇÃO 001</v>
      </c>
      <c r="B133" s="512" t="s">
        <v>913</v>
      </c>
      <c r="C133" s="504" t="s">
        <v>21</v>
      </c>
      <c r="D133" s="521">
        <v>1</v>
      </c>
      <c r="E133" s="475">
        <f>'PB VII - Cotação'!F9</f>
        <v>121.07</v>
      </c>
      <c r="F133" s="475">
        <f t="shared" ref="F133:F136" si="6">ROUND(D133*E133,2)</f>
        <v>121.07</v>
      </c>
    </row>
    <row r="134" spans="1:6">
      <c r="A134" s="520" t="str">
        <f>'PB VII - Cotação'!A15</f>
        <v>COTAÇÃO 003</v>
      </c>
      <c r="B134" s="512" t="s">
        <v>914</v>
      </c>
      <c r="C134" s="504" t="s">
        <v>21</v>
      </c>
      <c r="D134" s="521">
        <v>2</v>
      </c>
      <c r="E134" s="475">
        <f>'PB VII - Cotação'!F17</f>
        <v>40.03</v>
      </c>
      <c r="F134" s="475">
        <f t="shared" si="6"/>
        <v>80.06</v>
      </c>
    </row>
    <row r="135" spans="1:6">
      <c r="A135" s="520">
        <v>88264</v>
      </c>
      <c r="B135" s="512" t="s">
        <v>915</v>
      </c>
      <c r="C135" s="504" t="s">
        <v>807</v>
      </c>
      <c r="D135" s="521">
        <v>1</v>
      </c>
      <c r="E135" s="512">
        <v>19.18</v>
      </c>
      <c r="F135" s="475">
        <f t="shared" si="6"/>
        <v>19.18</v>
      </c>
    </row>
    <row r="136" spans="1:6">
      <c r="A136" s="520">
        <v>88316</v>
      </c>
      <c r="B136" s="512" t="s">
        <v>823</v>
      </c>
      <c r="C136" s="504" t="s">
        <v>807</v>
      </c>
      <c r="D136" s="521">
        <v>1</v>
      </c>
      <c r="E136" s="512">
        <v>13.21</v>
      </c>
      <c r="F136" s="475">
        <f t="shared" si="6"/>
        <v>13.21</v>
      </c>
    </row>
    <row r="137" spans="1:6">
      <c r="A137" s="488"/>
      <c r="B137" s="489"/>
      <c r="C137" s="490"/>
      <c r="D137" s="522" t="s">
        <v>779</v>
      </c>
      <c r="E137" s="522"/>
      <c r="F137" s="523">
        <f>SUM(F133:F136)</f>
        <v>233.52</v>
      </c>
    </row>
    <row r="138" spans="1:6">
      <c r="A138" s="491"/>
      <c r="B138" s="492"/>
      <c r="C138" s="492"/>
      <c r="D138" s="492"/>
      <c r="E138" s="492"/>
      <c r="F138" s="492"/>
    </row>
    <row r="139" spans="1:6">
      <c r="A139" s="513" t="s">
        <v>916</v>
      </c>
      <c r="B139" s="514" t="s">
        <v>545</v>
      </c>
      <c r="C139" s="515"/>
      <c r="D139" s="516"/>
      <c r="E139" s="517" t="s">
        <v>800</v>
      </c>
      <c r="F139" s="517" t="s">
        <v>801</v>
      </c>
    </row>
    <row r="140" spans="1:6">
      <c r="A140" s="518" t="s">
        <v>803</v>
      </c>
      <c r="B140" s="519" t="s">
        <v>804</v>
      </c>
      <c r="C140" s="519" t="s">
        <v>805</v>
      </c>
      <c r="D140" s="519" t="s">
        <v>8</v>
      </c>
      <c r="E140" s="519" t="s">
        <v>9</v>
      </c>
      <c r="F140" s="519" t="s">
        <v>10</v>
      </c>
    </row>
    <row r="141" spans="1:6">
      <c r="A141" s="520" t="str">
        <f>'PB VII - Cotação'!A11</f>
        <v>COTAÇÃO 002</v>
      </c>
      <c r="B141" s="512" t="s">
        <v>917</v>
      </c>
      <c r="C141" s="504" t="s">
        <v>21</v>
      </c>
      <c r="D141" s="521">
        <v>1</v>
      </c>
      <c r="E141" s="475">
        <f>'PB VII - Cotação'!F13</f>
        <v>106.63</v>
      </c>
      <c r="F141" s="475">
        <f t="shared" ref="F141:F144" si="7">ROUND(D141*E141,2)</f>
        <v>106.63</v>
      </c>
    </row>
    <row r="142" spans="1:6">
      <c r="A142" s="520" t="str">
        <f>'PB VII - Cotação'!A15</f>
        <v>COTAÇÃO 003</v>
      </c>
      <c r="B142" s="512" t="s">
        <v>914</v>
      </c>
      <c r="C142" s="504" t="s">
        <v>21</v>
      </c>
      <c r="D142" s="521">
        <v>2</v>
      </c>
      <c r="E142" s="475">
        <f>'PB VII - Cotação'!F17</f>
        <v>40.03</v>
      </c>
      <c r="F142" s="475">
        <f t="shared" si="7"/>
        <v>80.06</v>
      </c>
    </row>
    <row r="143" spans="1:6">
      <c r="A143" s="520">
        <v>88264</v>
      </c>
      <c r="B143" s="512" t="s">
        <v>915</v>
      </c>
      <c r="C143" s="504" t="s">
        <v>807</v>
      </c>
      <c r="D143" s="521">
        <v>1</v>
      </c>
      <c r="E143" s="512">
        <v>19.18</v>
      </c>
      <c r="F143" s="475">
        <f t="shared" si="7"/>
        <v>19.18</v>
      </c>
    </row>
    <row r="144" spans="1:6">
      <c r="A144" s="520">
        <v>88316</v>
      </c>
      <c r="B144" s="512" t="s">
        <v>823</v>
      </c>
      <c r="C144" s="504" t="s">
        <v>807</v>
      </c>
      <c r="D144" s="521">
        <v>1</v>
      </c>
      <c r="E144" s="512">
        <v>13.21</v>
      </c>
      <c r="F144" s="475">
        <f t="shared" si="7"/>
        <v>13.21</v>
      </c>
    </row>
    <row r="145" spans="1:6">
      <c r="A145" s="488"/>
      <c r="B145" s="489"/>
      <c r="C145" s="490"/>
      <c r="D145" s="522" t="s">
        <v>779</v>
      </c>
      <c r="E145" s="522"/>
      <c r="F145" s="523">
        <f>SUM(F141:F144)</f>
        <v>219.08</v>
      </c>
    </row>
    <row r="146" spans="1:6">
      <c r="A146" s="488"/>
      <c r="B146" s="492"/>
      <c r="C146" s="492"/>
      <c r="D146" s="492"/>
      <c r="E146" s="492"/>
      <c r="F146" s="492"/>
    </row>
    <row r="147" ht="27.75" customHeight="1" spans="1:6">
      <c r="A147" s="513" t="s">
        <v>918</v>
      </c>
      <c r="B147" s="514" t="s">
        <v>547</v>
      </c>
      <c r="C147" s="515"/>
      <c r="D147" s="516"/>
      <c r="E147" s="517" t="s">
        <v>800</v>
      </c>
      <c r="F147" s="517" t="s">
        <v>801</v>
      </c>
    </row>
    <row r="148" spans="1:6">
      <c r="A148" s="518" t="s">
        <v>803</v>
      </c>
      <c r="B148" s="519" t="s">
        <v>804</v>
      </c>
      <c r="C148" s="519" t="s">
        <v>805</v>
      </c>
      <c r="D148" s="519" t="s">
        <v>8</v>
      </c>
      <c r="E148" s="519" t="s">
        <v>9</v>
      </c>
      <c r="F148" s="519" t="s">
        <v>10</v>
      </c>
    </row>
    <row r="149" ht="25.5" spans="1:6">
      <c r="A149" s="520" t="str">
        <f>'PB VII - Cotação'!A27</f>
        <v>COTAÇÃO 006</v>
      </c>
      <c r="B149" s="512" t="s">
        <v>919</v>
      </c>
      <c r="C149" s="504" t="s">
        <v>21</v>
      </c>
      <c r="D149" s="521">
        <v>1</v>
      </c>
      <c r="E149" s="475">
        <f>'PB VII - Cotação'!F29</f>
        <v>211.99</v>
      </c>
      <c r="F149" s="475">
        <f>ROUND(D149*E149,2)</f>
        <v>211.99</v>
      </c>
    </row>
    <row r="150" spans="1:6">
      <c r="A150" s="520" t="str">
        <f>'PB VII - Cotação'!A19</f>
        <v>COTAÇÃO 004</v>
      </c>
      <c r="B150" s="512" t="s">
        <v>920</v>
      </c>
      <c r="C150" s="504" t="s">
        <v>21</v>
      </c>
      <c r="D150" s="521">
        <v>1</v>
      </c>
      <c r="E150" s="475">
        <f>'PB VII - Cotação'!F21</f>
        <v>85.42</v>
      </c>
      <c r="F150" s="475">
        <f t="shared" ref="F150:F155" si="8">ROUND(D150*E150,2)</f>
        <v>85.42</v>
      </c>
    </row>
    <row r="151" spans="1:6">
      <c r="A151" s="520">
        <v>367</v>
      </c>
      <c r="B151" s="512" t="s">
        <v>850</v>
      </c>
      <c r="C151" s="504" t="s">
        <v>921</v>
      </c>
      <c r="D151" s="521">
        <v>0.035</v>
      </c>
      <c r="E151" s="512">
        <v>26.67</v>
      </c>
      <c r="F151" s="475">
        <f t="shared" si="8"/>
        <v>0.93</v>
      </c>
    </row>
    <row r="152" spans="1:6">
      <c r="A152" s="520">
        <v>1379</v>
      </c>
      <c r="B152" s="512" t="s">
        <v>922</v>
      </c>
      <c r="C152" s="504" t="s">
        <v>95</v>
      </c>
      <c r="D152" s="521">
        <v>3.5</v>
      </c>
      <c r="E152" s="512">
        <v>0.74</v>
      </c>
      <c r="F152" s="475">
        <f t="shared" si="8"/>
        <v>2.59</v>
      </c>
    </row>
    <row r="153" spans="1:6">
      <c r="A153" s="520">
        <v>88316</v>
      </c>
      <c r="B153" s="512" t="s">
        <v>823</v>
      </c>
      <c r="C153" s="504" t="s">
        <v>807</v>
      </c>
      <c r="D153" s="521">
        <v>1.5</v>
      </c>
      <c r="E153" s="512">
        <v>13.21</v>
      </c>
      <c r="F153" s="475">
        <f t="shared" si="8"/>
        <v>19.82</v>
      </c>
    </row>
    <row r="154" spans="1:6">
      <c r="A154" s="520">
        <v>88264</v>
      </c>
      <c r="B154" s="512" t="s">
        <v>915</v>
      </c>
      <c r="C154" s="504" t="s">
        <v>807</v>
      </c>
      <c r="D154" s="521">
        <v>1.8</v>
      </c>
      <c r="E154" s="512">
        <v>19.18</v>
      </c>
      <c r="F154" s="475">
        <f t="shared" si="8"/>
        <v>34.52</v>
      </c>
    </row>
    <row r="155" spans="1:6">
      <c r="A155" s="520">
        <v>88247</v>
      </c>
      <c r="B155" s="512" t="s">
        <v>923</v>
      </c>
      <c r="C155" s="504" t="s">
        <v>807</v>
      </c>
      <c r="D155" s="521">
        <v>1.8</v>
      </c>
      <c r="E155" s="512">
        <v>15.57</v>
      </c>
      <c r="F155" s="475">
        <f t="shared" si="8"/>
        <v>28.03</v>
      </c>
    </row>
    <row r="156" spans="1:6">
      <c r="A156" s="488"/>
      <c r="B156" s="489"/>
      <c r="C156" s="490"/>
      <c r="D156" s="522" t="s">
        <v>779</v>
      </c>
      <c r="E156" s="522"/>
      <c r="F156" s="523">
        <f>SUM(F149:F155)</f>
        <v>383.3</v>
      </c>
    </row>
    <row r="157" spans="1:6">
      <c r="A157" s="488"/>
      <c r="B157" s="492"/>
      <c r="C157" s="492"/>
      <c r="D157" s="492"/>
      <c r="E157" s="492"/>
      <c r="F157" s="492"/>
    </row>
    <row r="158" spans="1:6">
      <c r="A158" s="513" t="s">
        <v>924</v>
      </c>
      <c r="B158" s="514" t="s">
        <v>549</v>
      </c>
      <c r="C158" s="515"/>
      <c r="D158" s="516"/>
      <c r="E158" s="517" t="s">
        <v>800</v>
      </c>
      <c r="F158" s="517" t="s">
        <v>801</v>
      </c>
    </row>
    <row r="159" spans="1:6">
      <c r="A159" s="518" t="s">
        <v>803</v>
      </c>
      <c r="B159" s="519" t="s">
        <v>804</v>
      </c>
      <c r="C159" s="519" t="s">
        <v>805</v>
      </c>
      <c r="D159" s="519" t="s">
        <v>8</v>
      </c>
      <c r="E159" s="519" t="s">
        <v>9</v>
      </c>
      <c r="F159" s="519" t="s">
        <v>10</v>
      </c>
    </row>
    <row r="160" ht="25.5" spans="1:6">
      <c r="A160" s="520" t="str">
        <f>'PB VII - Cotação'!A31</f>
        <v>COTAÇÃO 007</v>
      </c>
      <c r="B160" s="512" t="s">
        <v>925</v>
      </c>
      <c r="C160" s="504" t="s">
        <v>21</v>
      </c>
      <c r="D160" s="521">
        <v>1</v>
      </c>
      <c r="E160" s="475">
        <f>'PB VII - Cotação'!F33</f>
        <v>49.39</v>
      </c>
      <c r="F160" s="475">
        <f t="shared" ref="F160:F163" si="9">ROUND(D160*E160,2)</f>
        <v>49.39</v>
      </c>
    </row>
    <row r="161" spans="1:6">
      <c r="A161" s="520" t="str">
        <f>'PB VII - Cotação'!A23</f>
        <v>COTAÇÃO 005</v>
      </c>
      <c r="B161" s="512" t="s">
        <v>926</v>
      </c>
      <c r="C161" s="504" t="s">
        <v>21</v>
      </c>
      <c r="D161" s="521">
        <v>1</v>
      </c>
      <c r="E161" s="475">
        <f>'PB VII - Cotação'!F25</f>
        <v>26.77</v>
      </c>
      <c r="F161" s="475">
        <f t="shared" si="9"/>
        <v>26.77</v>
      </c>
    </row>
    <row r="162" spans="1:6">
      <c r="A162" s="520">
        <v>88264</v>
      </c>
      <c r="B162" s="512" t="s">
        <v>915</v>
      </c>
      <c r="C162" s="504" t="s">
        <v>807</v>
      </c>
      <c r="D162" s="521">
        <v>0.8</v>
      </c>
      <c r="E162" s="512">
        <v>19.18</v>
      </c>
      <c r="F162" s="475">
        <f t="shared" si="9"/>
        <v>15.34</v>
      </c>
    </row>
    <row r="163" spans="1:6">
      <c r="A163" s="520">
        <v>88316</v>
      </c>
      <c r="B163" s="512" t="s">
        <v>823</v>
      </c>
      <c r="C163" s="504" t="s">
        <v>807</v>
      </c>
      <c r="D163" s="521">
        <v>0.8</v>
      </c>
      <c r="E163" s="512">
        <v>13.21</v>
      </c>
      <c r="F163" s="475">
        <f t="shared" si="9"/>
        <v>10.57</v>
      </c>
    </row>
    <row r="164" spans="1:6">
      <c r="A164" s="488"/>
      <c r="B164" s="489"/>
      <c r="C164" s="490"/>
      <c r="D164" s="522" t="s">
        <v>779</v>
      </c>
      <c r="E164" s="522"/>
      <c r="F164" s="523">
        <f>SUM(F160:F163)</f>
        <v>102.07</v>
      </c>
    </row>
    <row r="165" spans="1:6">
      <c r="A165" s="488"/>
      <c r="B165" s="492"/>
      <c r="C165" s="492"/>
      <c r="D165" s="492"/>
      <c r="E165" s="492"/>
      <c r="F165" s="492"/>
    </row>
    <row r="166" spans="1:6">
      <c r="A166" s="513" t="s">
        <v>927</v>
      </c>
      <c r="B166" s="514" t="s">
        <v>551</v>
      </c>
      <c r="C166" s="515"/>
      <c r="D166" s="516"/>
      <c r="E166" s="517" t="s">
        <v>800</v>
      </c>
      <c r="F166" s="517" t="s">
        <v>801</v>
      </c>
    </row>
    <row r="167" spans="1:6">
      <c r="A167" s="518" t="s">
        <v>803</v>
      </c>
      <c r="B167" s="519" t="s">
        <v>804</v>
      </c>
      <c r="C167" s="519" t="s">
        <v>805</v>
      </c>
      <c r="D167" s="519" t="s">
        <v>8</v>
      </c>
      <c r="E167" s="519" t="s">
        <v>9</v>
      </c>
      <c r="F167" s="519" t="s">
        <v>10</v>
      </c>
    </row>
    <row r="168" spans="1:6">
      <c r="A168" s="520" t="str">
        <f>'PB VII - Cotação'!A47</f>
        <v>COTAÇÃO 011</v>
      </c>
      <c r="B168" s="512" t="s">
        <v>551</v>
      </c>
      <c r="C168" s="504" t="s">
        <v>21</v>
      </c>
      <c r="D168" s="521">
        <v>1</v>
      </c>
      <c r="E168" s="475">
        <f>'PB VII - Cotação'!F49</f>
        <v>88.82</v>
      </c>
      <c r="F168" s="475">
        <f>ROUND(D168*E168,2)</f>
        <v>88.82</v>
      </c>
    </row>
    <row r="169" spans="1:6">
      <c r="A169" s="520">
        <v>88264</v>
      </c>
      <c r="B169" s="512" t="s">
        <v>915</v>
      </c>
      <c r="C169" s="504" t="s">
        <v>807</v>
      </c>
      <c r="D169" s="521">
        <v>0.8</v>
      </c>
      <c r="E169" s="512">
        <v>19.18</v>
      </c>
      <c r="F169" s="475">
        <f>ROUND(D169*E169,2)</f>
        <v>15.34</v>
      </c>
    </row>
    <row r="170" spans="1:6">
      <c r="A170" s="520">
        <v>88316</v>
      </c>
      <c r="B170" s="512" t="s">
        <v>823</v>
      </c>
      <c r="C170" s="504" t="s">
        <v>807</v>
      </c>
      <c r="D170" s="521">
        <v>0.8</v>
      </c>
      <c r="E170" s="512">
        <v>13.21</v>
      </c>
      <c r="F170" s="475">
        <f>ROUND(D170*E170,2)</f>
        <v>10.57</v>
      </c>
    </row>
    <row r="171" spans="1:6">
      <c r="A171" s="488"/>
      <c r="B171" s="489"/>
      <c r="C171" s="490"/>
      <c r="D171" s="522" t="s">
        <v>779</v>
      </c>
      <c r="E171" s="522"/>
      <c r="F171" s="523">
        <f>SUM(F168:F170)</f>
        <v>114.73</v>
      </c>
    </row>
    <row r="172" spans="1:6">
      <c r="A172" s="488"/>
      <c r="B172" s="492"/>
      <c r="C172" s="492"/>
      <c r="D172" s="492"/>
      <c r="E172" s="492"/>
      <c r="F172" s="492"/>
    </row>
    <row r="173" spans="1:6">
      <c r="A173" s="513" t="s">
        <v>928</v>
      </c>
      <c r="B173" s="514" t="s">
        <v>929</v>
      </c>
      <c r="C173" s="515"/>
      <c r="D173" s="516"/>
      <c r="E173" s="517" t="s">
        <v>800</v>
      </c>
      <c r="F173" s="517" t="s">
        <v>801</v>
      </c>
    </row>
    <row r="174" spans="1:6">
      <c r="A174" s="518" t="s">
        <v>803</v>
      </c>
      <c r="B174" s="519" t="s">
        <v>804</v>
      </c>
      <c r="C174" s="519" t="s">
        <v>805</v>
      </c>
      <c r="D174" s="519" t="s">
        <v>8</v>
      </c>
      <c r="E174" s="519" t="s">
        <v>9</v>
      </c>
      <c r="F174" s="519" t="s">
        <v>10</v>
      </c>
    </row>
    <row r="175" ht="25.5" spans="1:6">
      <c r="A175" s="520">
        <v>12001</v>
      </c>
      <c r="B175" s="512" t="s">
        <v>930</v>
      </c>
      <c r="C175" s="504" t="s">
        <v>21</v>
      </c>
      <c r="D175" s="521">
        <v>1</v>
      </c>
      <c r="E175" s="475">
        <v>3.27</v>
      </c>
      <c r="F175" s="475">
        <f>ROUND(D175*E175,2)</f>
        <v>3.27</v>
      </c>
    </row>
    <row r="176" spans="1:6">
      <c r="A176" s="520">
        <v>88264</v>
      </c>
      <c r="B176" s="512" t="s">
        <v>915</v>
      </c>
      <c r="C176" s="504" t="s">
        <v>807</v>
      </c>
      <c r="D176" s="521">
        <v>0.143</v>
      </c>
      <c r="E176" s="512">
        <v>19.18</v>
      </c>
      <c r="F176" s="475">
        <f>ROUND(D176*E176,2)</f>
        <v>2.74</v>
      </c>
    </row>
    <row r="177" spans="1:6">
      <c r="A177" s="520">
        <v>88247</v>
      </c>
      <c r="B177" s="512" t="s">
        <v>923</v>
      </c>
      <c r="C177" s="504" t="s">
        <v>807</v>
      </c>
      <c r="D177" s="521">
        <v>0.143</v>
      </c>
      <c r="E177" s="512">
        <v>15.57</v>
      </c>
      <c r="F177" s="475">
        <f>ROUND(D177*E177,2)</f>
        <v>2.23</v>
      </c>
    </row>
    <row r="178" spans="1:6">
      <c r="A178" s="488"/>
      <c r="B178" s="492"/>
      <c r="C178" s="490"/>
      <c r="D178" s="522" t="s">
        <v>779</v>
      </c>
      <c r="E178" s="522"/>
      <c r="F178" s="523">
        <f>SUM(F175:F177)</f>
        <v>8.24</v>
      </c>
    </row>
    <row r="179" spans="1:6">
      <c r="A179" s="488"/>
      <c r="B179" s="492"/>
      <c r="C179" s="492"/>
      <c r="D179" s="492"/>
      <c r="E179" s="492"/>
      <c r="F179" s="492"/>
    </row>
    <row r="180" ht="27" customHeight="1" spans="1:6">
      <c r="A180" s="513" t="s">
        <v>931</v>
      </c>
      <c r="B180" s="514" t="s">
        <v>628</v>
      </c>
      <c r="C180" s="515"/>
      <c r="D180" s="516"/>
      <c r="E180" s="517" t="s">
        <v>800</v>
      </c>
      <c r="F180" s="517" t="s">
        <v>801</v>
      </c>
    </row>
    <row r="181" spans="1:6">
      <c r="A181" s="518" t="s">
        <v>803</v>
      </c>
      <c r="B181" s="519" t="s">
        <v>804</v>
      </c>
      <c r="C181" s="519" t="s">
        <v>805</v>
      </c>
      <c r="D181" s="519" t="s">
        <v>8</v>
      </c>
      <c r="E181" s="519" t="s">
        <v>9</v>
      </c>
      <c r="F181" s="519" t="s">
        <v>10</v>
      </c>
    </row>
    <row r="182" ht="25.5" spans="1:6">
      <c r="A182" s="520">
        <v>3383</v>
      </c>
      <c r="B182" s="512" t="s">
        <v>932</v>
      </c>
      <c r="C182" s="504" t="s">
        <v>21</v>
      </c>
      <c r="D182" s="521">
        <v>1</v>
      </c>
      <c r="E182" s="512">
        <v>18.7</v>
      </c>
      <c r="F182" s="475">
        <f>ROUND(D182*E182,2)</f>
        <v>18.7</v>
      </c>
    </row>
    <row r="183" ht="25.5" spans="1:6">
      <c r="A183" s="520">
        <v>425</v>
      </c>
      <c r="B183" s="512" t="s">
        <v>933</v>
      </c>
      <c r="C183" s="504" t="s">
        <v>21</v>
      </c>
      <c r="D183" s="521">
        <v>1</v>
      </c>
      <c r="E183" s="475">
        <v>2.3</v>
      </c>
      <c r="F183" s="475">
        <f>ROUND(D183*E183,2)</f>
        <v>2.3</v>
      </c>
    </row>
    <row r="184" spans="1:6">
      <c r="A184" s="520">
        <v>88264</v>
      </c>
      <c r="B184" s="512" t="s">
        <v>915</v>
      </c>
      <c r="C184" s="504" t="s">
        <v>807</v>
      </c>
      <c r="D184" s="521">
        <v>0.4</v>
      </c>
      <c r="E184" s="512">
        <v>19.18</v>
      </c>
      <c r="F184" s="475">
        <f>ROUND(D184*E184,2)</f>
        <v>7.67</v>
      </c>
    </row>
    <row r="185" spans="1:6">
      <c r="A185" s="520">
        <v>88247</v>
      </c>
      <c r="B185" s="512" t="s">
        <v>923</v>
      </c>
      <c r="C185" s="504" t="s">
        <v>807</v>
      </c>
      <c r="D185" s="521">
        <v>0.4</v>
      </c>
      <c r="E185" s="512">
        <v>15.57</v>
      </c>
      <c r="F185" s="475">
        <f>ROUND(D185*E185,2)</f>
        <v>6.23</v>
      </c>
    </row>
    <row r="186" spans="1:6">
      <c r="A186" s="488"/>
      <c r="B186" s="492"/>
      <c r="C186" s="490"/>
      <c r="D186" s="522" t="s">
        <v>779</v>
      </c>
      <c r="E186" s="522"/>
      <c r="F186" s="523">
        <f>SUM(F182:F185)</f>
        <v>34.9</v>
      </c>
    </row>
    <row r="187" spans="1:6">
      <c r="A187" s="488"/>
      <c r="B187" s="492"/>
      <c r="C187" s="492"/>
      <c r="D187" s="492"/>
      <c r="E187" s="492"/>
      <c r="F187" s="492"/>
    </row>
    <row r="188" spans="1:6">
      <c r="A188" s="513" t="s">
        <v>934</v>
      </c>
      <c r="B188" s="514" t="s">
        <v>651</v>
      </c>
      <c r="C188" s="515"/>
      <c r="D188" s="516"/>
      <c r="E188" s="517" t="s">
        <v>800</v>
      </c>
      <c r="F188" s="517" t="s">
        <v>801</v>
      </c>
    </row>
    <row r="189" spans="1:6">
      <c r="A189" s="518" t="s">
        <v>803</v>
      </c>
      <c r="B189" s="519" t="s">
        <v>804</v>
      </c>
      <c r="C189" s="519" t="s">
        <v>805</v>
      </c>
      <c r="D189" s="519" t="s">
        <v>8</v>
      </c>
      <c r="E189" s="519" t="s">
        <v>9</v>
      </c>
      <c r="F189" s="519" t="s">
        <v>10</v>
      </c>
    </row>
    <row r="190" spans="1:6">
      <c r="A190" s="520" t="str">
        <f>'PB VII - Cotação'!A35</f>
        <v>COTAÇÃO 008</v>
      </c>
      <c r="B190" s="512" t="s">
        <v>935</v>
      </c>
      <c r="C190" s="504" t="s">
        <v>21</v>
      </c>
      <c r="D190" s="521">
        <v>1</v>
      </c>
      <c r="E190" s="475">
        <f>'PB VII - Cotação'!F37</f>
        <v>96.88</v>
      </c>
      <c r="F190" s="475">
        <f t="shared" ref="F190:F193" si="10">ROUND(D190*E190,2)</f>
        <v>96.88</v>
      </c>
    </row>
    <row r="191" ht="25.5" spans="1:6">
      <c r="A191" s="520">
        <v>1579</v>
      </c>
      <c r="B191" s="512" t="s">
        <v>936</v>
      </c>
      <c r="C191" s="504" t="s">
        <v>21</v>
      </c>
      <c r="D191" s="521">
        <v>6</v>
      </c>
      <c r="E191" s="475">
        <v>2.14</v>
      </c>
      <c r="F191" s="475">
        <f t="shared" si="10"/>
        <v>12.84</v>
      </c>
    </row>
    <row r="192" spans="1:6">
      <c r="A192" s="520">
        <v>88264</v>
      </c>
      <c r="B192" s="512" t="s">
        <v>915</v>
      </c>
      <c r="C192" s="504" t="s">
        <v>807</v>
      </c>
      <c r="D192" s="521">
        <v>0.27</v>
      </c>
      <c r="E192" s="512">
        <v>19.18</v>
      </c>
      <c r="F192" s="475">
        <f t="shared" si="10"/>
        <v>5.18</v>
      </c>
    </row>
    <row r="193" spans="1:6">
      <c r="A193" s="520">
        <v>88247</v>
      </c>
      <c r="B193" s="512" t="s">
        <v>923</v>
      </c>
      <c r="C193" s="504" t="s">
        <v>807</v>
      </c>
      <c r="D193" s="521">
        <v>0.27</v>
      </c>
      <c r="E193" s="512">
        <v>15.57</v>
      </c>
      <c r="F193" s="475">
        <f t="shared" si="10"/>
        <v>4.2</v>
      </c>
    </row>
    <row r="194" spans="1:6">
      <c r="A194" s="488"/>
      <c r="B194" s="492"/>
      <c r="C194" s="490"/>
      <c r="D194" s="522" t="s">
        <v>779</v>
      </c>
      <c r="E194" s="522"/>
      <c r="F194" s="523">
        <f>SUM(F190:F193)</f>
        <v>119.1</v>
      </c>
    </row>
    <row r="195" spans="1:6">
      <c r="A195" s="488"/>
      <c r="B195" s="492"/>
      <c r="C195" s="492"/>
      <c r="D195" s="492"/>
      <c r="E195" s="492"/>
      <c r="F195" s="492"/>
    </row>
    <row r="196" spans="1:6">
      <c r="A196" s="513" t="s">
        <v>937</v>
      </c>
      <c r="B196" s="514" t="s">
        <v>653</v>
      </c>
      <c r="C196" s="515"/>
      <c r="D196" s="516"/>
      <c r="E196" s="517" t="s">
        <v>800</v>
      </c>
      <c r="F196" s="517" t="s">
        <v>801</v>
      </c>
    </row>
    <row r="197" spans="1:6">
      <c r="A197" s="518" t="s">
        <v>803</v>
      </c>
      <c r="B197" s="519" t="s">
        <v>804</v>
      </c>
      <c r="C197" s="519" t="s">
        <v>805</v>
      </c>
      <c r="D197" s="519" t="s">
        <v>8</v>
      </c>
      <c r="E197" s="519" t="s">
        <v>9</v>
      </c>
      <c r="F197" s="519" t="s">
        <v>10</v>
      </c>
    </row>
    <row r="198" ht="25.5" spans="1:6">
      <c r="A198" s="520">
        <v>39446</v>
      </c>
      <c r="B198" s="512" t="s">
        <v>938</v>
      </c>
      <c r="C198" s="504" t="s">
        <v>21</v>
      </c>
      <c r="D198" s="521">
        <v>1</v>
      </c>
      <c r="E198" s="475">
        <v>98.25</v>
      </c>
      <c r="F198" s="475">
        <f>ROUND(D198*E198,2)</f>
        <v>98.25</v>
      </c>
    </row>
    <row r="199" ht="25.5" spans="1:6">
      <c r="A199" s="520">
        <v>1571</v>
      </c>
      <c r="B199" s="512" t="s">
        <v>939</v>
      </c>
      <c r="C199" s="504" t="s">
        <v>21</v>
      </c>
      <c r="D199" s="521">
        <v>2</v>
      </c>
      <c r="E199" s="475">
        <v>0.41</v>
      </c>
      <c r="F199" s="475">
        <f>ROUND(D199*E199,2)</f>
        <v>0.82</v>
      </c>
    </row>
    <row r="200" spans="1:6">
      <c r="A200" s="520">
        <v>88264</v>
      </c>
      <c r="B200" s="512" t="s">
        <v>915</v>
      </c>
      <c r="C200" s="504" t="s">
        <v>807</v>
      </c>
      <c r="D200" s="521">
        <v>0.27</v>
      </c>
      <c r="E200" s="512">
        <v>19.18</v>
      </c>
      <c r="F200" s="475">
        <f>ROUND(D200*E200,2)</f>
        <v>5.18</v>
      </c>
    </row>
    <row r="201" spans="1:6">
      <c r="A201" s="520">
        <v>88247</v>
      </c>
      <c r="B201" s="512" t="s">
        <v>923</v>
      </c>
      <c r="C201" s="504" t="s">
        <v>807</v>
      </c>
      <c r="D201" s="521">
        <v>0.27</v>
      </c>
      <c r="E201" s="512">
        <v>15.57</v>
      </c>
      <c r="F201" s="475">
        <f>ROUND(D201*E201,2)</f>
        <v>4.2</v>
      </c>
    </row>
    <row r="202" spans="1:6">
      <c r="A202" s="488"/>
      <c r="B202" s="492"/>
      <c r="C202" s="490"/>
      <c r="D202" s="522" t="s">
        <v>779</v>
      </c>
      <c r="E202" s="522"/>
      <c r="F202" s="523">
        <f>SUM(F198:F201)</f>
        <v>108.45</v>
      </c>
    </row>
    <row r="203" spans="1:6">
      <c r="A203" s="488"/>
      <c r="B203" s="492"/>
      <c r="C203" s="492"/>
      <c r="D203" s="492"/>
      <c r="E203" s="492"/>
      <c r="F203" s="492"/>
    </row>
    <row r="204" ht="27.75" customHeight="1" spans="1:6">
      <c r="A204" s="513" t="s">
        <v>940</v>
      </c>
      <c r="B204" s="514" t="s">
        <v>655</v>
      </c>
      <c r="C204" s="515"/>
      <c r="D204" s="516"/>
      <c r="E204" s="517" t="s">
        <v>800</v>
      </c>
      <c r="F204" s="517" t="s">
        <v>801</v>
      </c>
    </row>
    <row r="205" spans="1:6">
      <c r="A205" s="518" t="s">
        <v>803</v>
      </c>
      <c r="B205" s="519" t="s">
        <v>804</v>
      </c>
      <c r="C205" s="519" t="s">
        <v>805</v>
      </c>
      <c r="D205" s="519" t="s">
        <v>8</v>
      </c>
      <c r="E205" s="519" t="s">
        <v>9</v>
      </c>
      <c r="F205" s="519" t="s">
        <v>10</v>
      </c>
    </row>
    <row r="206" ht="25.5" spans="1:6">
      <c r="A206" s="520">
        <v>39467</v>
      </c>
      <c r="B206" s="512" t="s">
        <v>941</v>
      </c>
      <c r="C206" s="504" t="s">
        <v>21</v>
      </c>
      <c r="D206" s="521">
        <v>1</v>
      </c>
      <c r="E206" s="475">
        <v>67.51</v>
      </c>
      <c r="F206" s="475">
        <f>ROUND(D206*E206,2)</f>
        <v>67.51</v>
      </c>
    </row>
    <row r="207" ht="25.5" spans="1:6">
      <c r="A207" s="520">
        <v>1571</v>
      </c>
      <c r="B207" s="512" t="s">
        <v>939</v>
      </c>
      <c r="C207" s="504" t="s">
        <v>21</v>
      </c>
      <c r="D207" s="521">
        <v>1</v>
      </c>
      <c r="E207" s="475">
        <v>0.41</v>
      </c>
      <c r="F207" s="475">
        <f>ROUND(D207*E207,2)</f>
        <v>0.41</v>
      </c>
    </row>
    <row r="208" ht="25.5" spans="1:6">
      <c r="A208" s="520">
        <v>1579</v>
      </c>
      <c r="B208" s="512" t="s">
        <v>936</v>
      </c>
      <c r="C208" s="504" t="s">
        <v>21</v>
      </c>
      <c r="D208" s="521">
        <v>1</v>
      </c>
      <c r="E208" s="475">
        <v>2.14</v>
      </c>
      <c r="F208" s="475">
        <f>ROUND(D208*E208,2)</f>
        <v>2.14</v>
      </c>
    </row>
    <row r="209" spans="1:6">
      <c r="A209" s="520">
        <v>88264</v>
      </c>
      <c r="B209" s="512" t="s">
        <v>915</v>
      </c>
      <c r="C209" s="504" t="s">
        <v>807</v>
      </c>
      <c r="D209" s="521">
        <v>0.066</v>
      </c>
      <c r="E209" s="512">
        <v>19.18</v>
      </c>
      <c r="F209" s="475">
        <f>ROUND(D209*E209,2)</f>
        <v>1.27</v>
      </c>
    </row>
    <row r="210" spans="1:6">
      <c r="A210" s="520">
        <v>88247</v>
      </c>
      <c r="B210" s="512" t="s">
        <v>923</v>
      </c>
      <c r="C210" s="504" t="s">
        <v>807</v>
      </c>
      <c r="D210" s="521">
        <v>0.066</v>
      </c>
      <c r="E210" s="512">
        <v>15.57</v>
      </c>
      <c r="F210" s="475">
        <f>ROUND(D210*E210,2)</f>
        <v>1.03</v>
      </c>
    </row>
    <row r="211" spans="1:6">
      <c r="A211" s="488"/>
      <c r="B211" s="492"/>
      <c r="C211" s="490"/>
      <c r="D211" s="522" t="s">
        <v>779</v>
      </c>
      <c r="E211" s="522"/>
      <c r="F211" s="523">
        <f>SUM(F206:F210)</f>
        <v>72.36</v>
      </c>
    </row>
    <row r="212" spans="1:6">
      <c r="A212" s="488"/>
      <c r="B212" s="492"/>
      <c r="C212" s="492"/>
      <c r="D212" s="492"/>
      <c r="E212" s="492"/>
      <c r="F212" s="492"/>
    </row>
    <row r="213" ht="27" customHeight="1" spans="1:6">
      <c r="A213" s="513" t="s">
        <v>942</v>
      </c>
      <c r="B213" s="514" t="s">
        <v>657</v>
      </c>
      <c r="C213" s="515"/>
      <c r="D213" s="516"/>
      <c r="E213" s="517" t="s">
        <v>800</v>
      </c>
      <c r="F213" s="517" t="s">
        <v>801</v>
      </c>
    </row>
    <row r="214" spans="1:6">
      <c r="A214" s="518" t="s">
        <v>803</v>
      </c>
      <c r="B214" s="519" t="s">
        <v>804</v>
      </c>
      <c r="C214" s="519" t="s">
        <v>805</v>
      </c>
      <c r="D214" s="519" t="s">
        <v>8</v>
      </c>
      <c r="E214" s="519" t="s">
        <v>9</v>
      </c>
      <c r="F214" s="519" t="s">
        <v>10</v>
      </c>
    </row>
    <row r="215" ht="25.5" spans="1:6">
      <c r="A215" s="520">
        <v>4336</v>
      </c>
      <c r="B215" s="512" t="s">
        <v>943</v>
      </c>
      <c r="C215" s="504" t="s">
        <v>21</v>
      </c>
      <c r="D215" s="512">
        <v>2</v>
      </c>
      <c r="E215" s="512">
        <v>2.42</v>
      </c>
      <c r="F215" s="475">
        <f>ROUND(D215*E215,2)</f>
        <v>4.84</v>
      </c>
    </row>
    <row r="216" ht="25.5" spans="1:6">
      <c r="A216" s="520">
        <v>379</v>
      </c>
      <c r="B216" s="512" t="s">
        <v>944</v>
      </c>
      <c r="C216" s="504" t="s">
        <v>21</v>
      </c>
      <c r="D216" s="512">
        <v>2</v>
      </c>
      <c r="E216" s="512">
        <v>0.47</v>
      </c>
      <c r="F216" s="475">
        <f t="shared" ref="F216:F228" si="11">ROUND(D216*E216,2)</f>
        <v>0.94</v>
      </c>
    </row>
    <row r="217" ht="38.25" spans="1:6">
      <c r="A217" s="520">
        <v>995</v>
      </c>
      <c r="B217" s="512" t="s">
        <v>945</v>
      </c>
      <c r="C217" s="504" t="s">
        <v>120</v>
      </c>
      <c r="D217" s="512">
        <v>3</v>
      </c>
      <c r="E217" s="512">
        <v>6.4</v>
      </c>
      <c r="F217" s="475">
        <f t="shared" si="11"/>
        <v>19.2</v>
      </c>
    </row>
    <row r="218" ht="38.25" spans="1:6">
      <c r="A218" s="520">
        <v>1019</v>
      </c>
      <c r="B218" s="512" t="s">
        <v>946</v>
      </c>
      <c r="C218" s="504" t="s">
        <v>120</v>
      </c>
      <c r="D218" s="512">
        <v>24</v>
      </c>
      <c r="E218" s="512">
        <v>13.43</v>
      </c>
      <c r="F218" s="475">
        <f t="shared" si="11"/>
        <v>322.32</v>
      </c>
    </row>
    <row r="219" ht="25.5" spans="1:6">
      <c r="A219" s="520">
        <v>1091</v>
      </c>
      <c r="B219" s="512" t="s">
        <v>947</v>
      </c>
      <c r="C219" s="504" t="s">
        <v>21</v>
      </c>
      <c r="D219" s="512">
        <v>1</v>
      </c>
      <c r="E219" s="512">
        <v>18.65</v>
      </c>
      <c r="F219" s="475">
        <f t="shared" si="11"/>
        <v>18.65</v>
      </c>
    </row>
    <row r="220" spans="1:6">
      <c r="A220" s="520" t="str">
        <f>'PB VII - Cotação'!A35</f>
        <v>COTAÇÃO 008</v>
      </c>
      <c r="B220" s="512" t="s">
        <v>948</v>
      </c>
      <c r="C220" s="504" t="s">
        <v>21</v>
      </c>
      <c r="D220" s="512">
        <v>1</v>
      </c>
      <c r="E220" s="524">
        <f>'PB VII - Cotação'!F37</f>
        <v>96.88</v>
      </c>
      <c r="F220" s="475">
        <f t="shared" si="11"/>
        <v>96.88</v>
      </c>
    </row>
    <row r="221" spans="1:6">
      <c r="A221" s="520">
        <v>2680</v>
      </c>
      <c r="B221" s="512" t="s">
        <v>949</v>
      </c>
      <c r="C221" s="504" t="s">
        <v>120</v>
      </c>
      <c r="D221" s="512">
        <v>9</v>
      </c>
      <c r="E221" s="512">
        <v>4.75</v>
      </c>
      <c r="F221" s="475">
        <f t="shared" si="11"/>
        <v>42.75</v>
      </c>
    </row>
    <row r="222" spans="1:6">
      <c r="A222" s="520">
        <v>1893</v>
      </c>
      <c r="B222" s="512" t="s">
        <v>950</v>
      </c>
      <c r="C222" s="504" t="s">
        <v>21</v>
      </c>
      <c r="D222" s="512">
        <v>2</v>
      </c>
      <c r="E222" s="512">
        <v>1.89</v>
      </c>
      <c r="F222" s="475">
        <f t="shared" si="11"/>
        <v>3.78</v>
      </c>
    </row>
    <row r="223" ht="25.5" spans="1:6">
      <c r="A223" s="520">
        <v>3383</v>
      </c>
      <c r="B223" s="512" t="s">
        <v>932</v>
      </c>
      <c r="C223" s="504" t="s">
        <v>21</v>
      </c>
      <c r="D223" s="512">
        <v>1</v>
      </c>
      <c r="E223" s="512">
        <v>18.7</v>
      </c>
      <c r="F223" s="475">
        <f t="shared" si="11"/>
        <v>18.7</v>
      </c>
    </row>
    <row r="224" ht="25.5" spans="1:6">
      <c r="A224" s="520">
        <v>3398</v>
      </c>
      <c r="B224" s="512" t="s">
        <v>951</v>
      </c>
      <c r="C224" s="504" t="s">
        <v>21</v>
      </c>
      <c r="D224" s="512">
        <v>2</v>
      </c>
      <c r="E224" s="512">
        <v>2.95</v>
      </c>
      <c r="F224" s="475">
        <f t="shared" si="11"/>
        <v>5.9</v>
      </c>
    </row>
    <row r="225" spans="1:6">
      <c r="A225" s="520" t="str">
        <f>'PB VII - Cotação'!A39</f>
        <v>COTAÇÃO 009</v>
      </c>
      <c r="B225" s="512" t="s">
        <v>952</v>
      </c>
      <c r="C225" s="504" t="s">
        <v>21</v>
      </c>
      <c r="D225" s="512">
        <v>1</v>
      </c>
      <c r="E225" s="524">
        <f>'PB VII - Cotação'!F41</f>
        <v>325</v>
      </c>
      <c r="F225" s="475">
        <f t="shared" si="11"/>
        <v>325</v>
      </c>
    </row>
    <row r="226" ht="25.5" spans="1:6">
      <c r="A226" s="520" t="str">
        <f>'PB VII - Cotação'!A43</f>
        <v>COTAÇÃO 010</v>
      </c>
      <c r="B226" s="512" t="s">
        <v>953</v>
      </c>
      <c r="C226" s="504" t="s">
        <v>21</v>
      </c>
      <c r="D226" s="512">
        <v>1</v>
      </c>
      <c r="E226" s="524">
        <f>'PB VII - Cotação'!F45</f>
        <v>90.58</v>
      </c>
      <c r="F226" s="475">
        <f t="shared" si="11"/>
        <v>90.58</v>
      </c>
    </row>
    <row r="227" spans="1:6">
      <c r="A227" s="520">
        <v>88264</v>
      </c>
      <c r="B227" s="512" t="s">
        <v>915</v>
      </c>
      <c r="C227" s="504" t="s">
        <v>807</v>
      </c>
      <c r="D227" s="512">
        <v>6</v>
      </c>
      <c r="E227" s="512">
        <v>19.18</v>
      </c>
      <c r="F227" s="475">
        <f t="shared" si="11"/>
        <v>115.08</v>
      </c>
    </row>
    <row r="228" spans="1:6">
      <c r="A228" s="520">
        <v>88316</v>
      </c>
      <c r="B228" s="512" t="s">
        <v>823</v>
      </c>
      <c r="C228" s="504" t="s">
        <v>807</v>
      </c>
      <c r="D228" s="512">
        <v>6</v>
      </c>
      <c r="E228" s="512">
        <v>13.21</v>
      </c>
      <c r="F228" s="475">
        <f t="shared" si="11"/>
        <v>79.26</v>
      </c>
    </row>
    <row r="229" spans="1:6">
      <c r="A229" s="488"/>
      <c r="B229" s="489"/>
      <c r="C229" s="525"/>
      <c r="D229" s="526" t="s">
        <v>779</v>
      </c>
      <c r="E229" s="526"/>
      <c r="F229" s="527">
        <f>SUM(F215:F228)</f>
        <v>1143.88</v>
      </c>
    </row>
    <row r="231" ht="26.25" customHeight="1" spans="1:6">
      <c r="A231" s="528" t="s">
        <v>954</v>
      </c>
      <c r="B231" s="529" t="s">
        <v>955</v>
      </c>
      <c r="C231" s="530"/>
      <c r="D231" s="531"/>
      <c r="E231" s="532" t="s">
        <v>800</v>
      </c>
      <c r="F231" s="532" t="s">
        <v>801</v>
      </c>
    </row>
    <row r="232" spans="1:6">
      <c r="A232" s="533" t="s">
        <v>803</v>
      </c>
      <c r="B232" s="534" t="s">
        <v>804</v>
      </c>
      <c r="C232" s="535" t="s">
        <v>805</v>
      </c>
      <c r="D232" s="535" t="s">
        <v>8</v>
      </c>
      <c r="E232" s="535" t="s">
        <v>9</v>
      </c>
      <c r="F232" s="535" t="s">
        <v>10</v>
      </c>
    </row>
    <row r="233" ht="25.5" spans="1:6">
      <c r="A233" s="536">
        <v>91946</v>
      </c>
      <c r="B233" s="537" t="s">
        <v>956</v>
      </c>
      <c r="C233" s="538" t="s">
        <v>21</v>
      </c>
      <c r="D233" s="277">
        <v>1</v>
      </c>
      <c r="E233" s="539">
        <v>4.84</v>
      </c>
      <c r="F233" s="540">
        <f>ROUND(D233*E233,2)</f>
        <v>4.84</v>
      </c>
    </row>
    <row r="234" spans="1:6">
      <c r="A234" s="541">
        <v>38104</v>
      </c>
      <c r="B234" s="537" t="s">
        <v>957</v>
      </c>
      <c r="C234" s="538" t="s">
        <v>21</v>
      </c>
      <c r="D234" s="277">
        <v>1</v>
      </c>
      <c r="E234" s="279">
        <v>18.64</v>
      </c>
      <c r="F234" s="540">
        <f>ROUND(D234*E234,2)</f>
        <v>18.64</v>
      </c>
    </row>
    <row r="235" spans="4:6">
      <c r="D235" s="542" t="s">
        <v>779</v>
      </c>
      <c r="E235" s="542"/>
      <c r="F235" s="543">
        <f>SUM(F233:F234)</f>
        <v>23.48</v>
      </c>
    </row>
    <row r="237" ht="22.5" customHeight="1" spans="1:6">
      <c r="A237" s="528" t="s">
        <v>958</v>
      </c>
      <c r="B237" s="529" t="s">
        <v>665</v>
      </c>
      <c r="C237" s="530"/>
      <c r="D237" s="531"/>
      <c r="E237" s="532" t="s">
        <v>800</v>
      </c>
      <c r="F237" s="532" t="s">
        <v>801</v>
      </c>
    </row>
    <row r="238" spans="1:6">
      <c r="A238" s="533" t="s">
        <v>803</v>
      </c>
      <c r="B238" s="534" t="s">
        <v>804</v>
      </c>
      <c r="C238" s="535" t="s">
        <v>805</v>
      </c>
      <c r="D238" s="535" t="s">
        <v>8</v>
      </c>
      <c r="E238" s="535" t="s">
        <v>9</v>
      </c>
      <c r="F238" s="535" t="s">
        <v>10</v>
      </c>
    </row>
    <row r="239" ht="25.5" spans="1:6">
      <c r="A239" s="536">
        <v>91947</v>
      </c>
      <c r="B239" s="537" t="s">
        <v>959</v>
      </c>
      <c r="C239" s="538" t="s">
        <v>21</v>
      </c>
      <c r="D239" s="277">
        <v>1</v>
      </c>
      <c r="E239" s="539">
        <v>4.27</v>
      </c>
      <c r="F239" s="540">
        <f>ROUND(D239*E239,2)</f>
        <v>4.27</v>
      </c>
    </row>
    <row r="240" spans="1:6">
      <c r="A240" s="541">
        <v>38104</v>
      </c>
      <c r="B240" s="537" t="s">
        <v>957</v>
      </c>
      <c r="C240" s="538" t="s">
        <v>21</v>
      </c>
      <c r="D240" s="277">
        <v>2</v>
      </c>
      <c r="E240" s="279">
        <v>18.64</v>
      </c>
      <c r="F240" s="540">
        <f>ROUND(D240*E240,2)</f>
        <v>37.28</v>
      </c>
    </row>
    <row r="241" spans="4:6">
      <c r="D241" s="542" t="s">
        <v>779</v>
      </c>
      <c r="E241" s="542"/>
      <c r="F241" s="543">
        <f>SUM(F239:F240)</f>
        <v>41.55</v>
      </c>
    </row>
    <row r="243" ht="25.5" customHeight="1" spans="1:6">
      <c r="A243" s="528" t="s">
        <v>960</v>
      </c>
      <c r="B243" s="529" t="s">
        <v>961</v>
      </c>
      <c r="C243" s="530"/>
      <c r="D243" s="531"/>
      <c r="E243" s="532" t="s">
        <v>800</v>
      </c>
      <c r="F243" s="532" t="s">
        <v>801</v>
      </c>
    </row>
    <row r="244" spans="1:6">
      <c r="A244" s="533" t="s">
        <v>803</v>
      </c>
      <c r="B244" s="534" t="s">
        <v>804</v>
      </c>
      <c r="C244" s="535" t="s">
        <v>805</v>
      </c>
      <c r="D244" s="535" t="s">
        <v>8</v>
      </c>
      <c r="E244" s="535" t="s">
        <v>9</v>
      </c>
      <c r="F244" s="535" t="s">
        <v>10</v>
      </c>
    </row>
    <row r="245" ht="25.5" spans="1:6">
      <c r="A245" s="536">
        <v>91951</v>
      </c>
      <c r="B245" s="537" t="s">
        <v>962</v>
      </c>
      <c r="C245" s="538" t="s">
        <v>21</v>
      </c>
      <c r="D245" s="277">
        <v>1</v>
      </c>
      <c r="E245" s="312">
        <v>6.88</v>
      </c>
      <c r="F245" s="540">
        <f>ROUND(D245*E245,2)</f>
        <v>6.88</v>
      </c>
    </row>
    <row r="246" spans="1:6">
      <c r="A246" s="541">
        <v>38104</v>
      </c>
      <c r="B246" s="537" t="s">
        <v>957</v>
      </c>
      <c r="C246" s="538" t="s">
        <v>21</v>
      </c>
      <c r="D246" s="277">
        <v>3</v>
      </c>
      <c r="E246" s="279">
        <v>18.64</v>
      </c>
      <c r="F246" s="540">
        <f>ROUND(D246*E246,2)</f>
        <v>55.92</v>
      </c>
    </row>
    <row r="247" spans="4:6">
      <c r="D247" s="542" t="s">
        <v>779</v>
      </c>
      <c r="E247" s="542"/>
      <c r="F247" s="543">
        <f>SUM(F245:F246)</f>
        <v>62.8</v>
      </c>
    </row>
    <row r="248" ht="14.25" customHeight="1"/>
    <row r="249" ht="27.75" customHeight="1" spans="1:6">
      <c r="A249" s="528" t="s">
        <v>963</v>
      </c>
      <c r="B249" s="529" t="s">
        <v>964</v>
      </c>
      <c r="C249" s="530"/>
      <c r="D249" s="531"/>
      <c r="E249" s="532" t="s">
        <v>800</v>
      </c>
      <c r="F249" s="532" t="s">
        <v>801</v>
      </c>
    </row>
    <row r="250" spans="1:6">
      <c r="A250" s="533" t="s">
        <v>803</v>
      </c>
      <c r="B250" s="534" t="s">
        <v>804</v>
      </c>
      <c r="C250" s="535" t="s">
        <v>805</v>
      </c>
      <c r="D250" s="535" t="s">
        <v>8</v>
      </c>
      <c r="E250" s="535" t="s">
        <v>9</v>
      </c>
      <c r="F250" s="535" t="s">
        <v>10</v>
      </c>
    </row>
    <row r="251" ht="25.5" spans="1:6">
      <c r="A251" s="536">
        <v>91951</v>
      </c>
      <c r="B251" s="537" t="s">
        <v>962</v>
      </c>
      <c r="C251" s="538" t="s">
        <v>21</v>
      </c>
      <c r="D251" s="277">
        <v>1</v>
      </c>
      <c r="E251" s="312">
        <v>6.88</v>
      </c>
      <c r="F251" s="540">
        <f>ROUND(D251*E251,2)</f>
        <v>6.88</v>
      </c>
    </row>
    <row r="252" spans="1:6">
      <c r="A252" s="541">
        <v>38104</v>
      </c>
      <c r="B252" s="537" t="s">
        <v>957</v>
      </c>
      <c r="C252" s="538" t="s">
        <v>21</v>
      </c>
      <c r="D252" s="277">
        <v>4</v>
      </c>
      <c r="E252" s="279">
        <v>18.64</v>
      </c>
      <c r="F252" s="540">
        <f>ROUND(D252*E252,2)</f>
        <v>74.56</v>
      </c>
    </row>
    <row r="253" spans="4:6">
      <c r="D253" s="542" t="s">
        <v>779</v>
      </c>
      <c r="E253" s="542"/>
      <c r="F253" s="543">
        <f>SUM(F251:F252)</f>
        <v>81.44</v>
      </c>
    </row>
    <row r="255" spans="1:6">
      <c r="A255" s="518" t="s">
        <v>965</v>
      </c>
      <c r="B255" s="529" t="s">
        <v>966</v>
      </c>
      <c r="C255" s="530"/>
      <c r="D255" s="531"/>
      <c r="E255" s="532" t="s">
        <v>800</v>
      </c>
      <c r="F255" s="532" t="s">
        <v>801</v>
      </c>
    </row>
    <row r="256" spans="1:6">
      <c r="A256" s="533" t="s">
        <v>803</v>
      </c>
      <c r="B256" s="535" t="s">
        <v>804</v>
      </c>
      <c r="C256" s="535" t="s">
        <v>805</v>
      </c>
      <c r="D256" s="535" t="s">
        <v>8</v>
      </c>
      <c r="E256" s="535" t="s">
        <v>9</v>
      </c>
      <c r="F256" s="535" t="s">
        <v>10</v>
      </c>
    </row>
    <row r="257" spans="1:6">
      <c r="A257" s="544">
        <v>88264</v>
      </c>
      <c r="B257" s="545" t="s">
        <v>967</v>
      </c>
      <c r="C257" s="546" t="s">
        <v>807</v>
      </c>
      <c r="D257" s="547">
        <v>0.183</v>
      </c>
      <c r="E257" s="548">
        <v>19.18</v>
      </c>
      <c r="F257" s="549">
        <f>ROUND(D257*E257,2)</f>
        <v>3.51</v>
      </c>
    </row>
    <row r="258" ht="25.5" spans="1:6">
      <c r="A258" s="502">
        <v>88247</v>
      </c>
      <c r="B258" s="512" t="s">
        <v>968</v>
      </c>
      <c r="C258" s="504" t="s">
        <v>807</v>
      </c>
      <c r="D258" s="550">
        <v>0.183</v>
      </c>
      <c r="E258" s="506">
        <v>15.57</v>
      </c>
      <c r="F258" s="549">
        <f t="shared" ref="F258:F263" si="12">ROUND(D258*E258,2)</f>
        <v>2.85</v>
      </c>
    </row>
    <row r="259" ht="25.5" spans="1:6">
      <c r="A259" s="502" t="str">
        <f>'PB VII - Cotação'!A52</f>
        <v>COTAÇÃO 012</v>
      </c>
      <c r="B259" s="512" t="s">
        <v>969</v>
      </c>
      <c r="C259" s="504" t="s">
        <v>21</v>
      </c>
      <c r="D259" s="550">
        <v>1</v>
      </c>
      <c r="E259" s="506">
        <f>'PB VII - Cotação'!F54</f>
        <v>6.7</v>
      </c>
      <c r="F259" s="551">
        <f t="shared" si="12"/>
        <v>6.7</v>
      </c>
    </row>
    <row r="260" spans="1:6">
      <c r="A260" s="502" t="str">
        <f>'PB VII - Cotação'!A56</f>
        <v>COTAÇÃO 013</v>
      </c>
      <c r="B260" s="512" t="s">
        <v>970</v>
      </c>
      <c r="C260" s="504" t="s">
        <v>21</v>
      </c>
      <c r="D260" s="550">
        <v>4</v>
      </c>
      <c r="E260" s="506">
        <f>'PB VII - Cotação'!F58</f>
        <v>0.61</v>
      </c>
      <c r="F260" s="551">
        <f t="shared" si="12"/>
        <v>2.44</v>
      </c>
    </row>
    <row r="261" spans="1:6">
      <c r="A261" s="502" t="str">
        <f>'PB VII - Cotação'!A60</f>
        <v>COTAÇÃO 014</v>
      </c>
      <c r="B261" s="512" t="s">
        <v>971</v>
      </c>
      <c r="C261" s="504" t="s">
        <v>21</v>
      </c>
      <c r="D261" s="550">
        <v>16.8</v>
      </c>
      <c r="E261" s="506">
        <f>'PB VII - Cotação'!F62</f>
        <v>0.1</v>
      </c>
      <c r="F261" s="551">
        <f t="shared" si="12"/>
        <v>1.68</v>
      </c>
    </row>
    <row r="262" spans="1:6">
      <c r="A262" s="502" t="str">
        <f>'PB VII - Cotação'!A64</f>
        <v>COTAÇÃO 015</v>
      </c>
      <c r="B262" s="512" t="s">
        <v>972</v>
      </c>
      <c r="C262" s="504" t="s">
        <v>21</v>
      </c>
      <c r="D262" s="550">
        <v>16.8</v>
      </c>
      <c r="E262" s="506">
        <f>'PB VII - Cotação'!F66</f>
        <v>0.16</v>
      </c>
      <c r="F262" s="551">
        <f t="shared" si="12"/>
        <v>2.69</v>
      </c>
    </row>
    <row r="263" spans="1:6">
      <c r="A263" s="502" t="str">
        <f>'PB VII - Cotação'!A68</f>
        <v>COTAÇÃO 016</v>
      </c>
      <c r="B263" s="512" t="s">
        <v>973</v>
      </c>
      <c r="C263" s="504" t="s">
        <v>21</v>
      </c>
      <c r="D263" s="550">
        <v>16.8</v>
      </c>
      <c r="E263" s="506">
        <f>'PB VII - Cotação'!F70</f>
        <v>0.09</v>
      </c>
      <c r="F263" s="551">
        <f t="shared" si="12"/>
        <v>1.51</v>
      </c>
    </row>
    <row r="264" spans="4:6">
      <c r="D264" s="542" t="s">
        <v>779</v>
      </c>
      <c r="E264" s="542"/>
      <c r="F264" s="543">
        <f>SUM(F257:F263)</f>
        <v>21.38</v>
      </c>
    </row>
    <row r="266" ht="25.5" customHeight="1" spans="1:6">
      <c r="A266" s="518" t="s">
        <v>974</v>
      </c>
      <c r="B266" s="529" t="s">
        <v>673</v>
      </c>
      <c r="C266" s="530"/>
      <c r="D266" s="531"/>
      <c r="E266" s="532" t="s">
        <v>800</v>
      </c>
      <c r="F266" s="532" t="s">
        <v>801</v>
      </c>
    </row>
    <row r="267" spans="1:6">
      <c r="A267" s="533" t="s">
        <v>803</v>
      </c>
      <c r="B267" s="535" t="s">
        <v>804</v>
      </c>
      <c r="C267" s="535" t="s">
        <v>805</v>
      </c>
      <c r="D267" s="535" t="s">
        <v>8</v>
      </c>
      <c r="E267" s="535" t="s">
        <v>9</v>
      </c>
      <c r="F267" s="535" t="s">
        <v>10</v>
      </c>
    </row>
    <row r="268" spans="1:6">
      <c r="A268" s="552">
        <v>88264</v>
      </c>
      <c r="B268" s="553" t="s">
        <v>967</v>
      </c>
      <c r="C268" s="554" t="s">
        <v>807</v>
      </c>
      <c r="D268" s="555">
        <v>0.063</v>
      </c>
      <c r="E268" s="556">
        <v>19.18</v>
      </c>
      <c r="F268" s="551">
        <f>ROUND(D268*E268,2)</f>
        <v>1.21</v>
      </c>
    </row>
    <row r="269" ht="25.5" spans="1:6">
      <c r="A269" s="502">
        <v>88247</v>
      </c>
      <c r="B269" s="512" t="s">
        <v>968</v>
      </c>
      <c r="C269" s="504" t="s">
        <v>807</v>
      </c>
      <c r="D269" s="550">
        <v>0.063</v>
      </c>
      <c r="E269" s="506">
        <v>15.57</v>
      </c>
      <c r="F269" s="551">
        <f>ROUND(D269*E269,2)</f>
        <v>0.98</v>
      </c>
    </row>
    <row r="270" ht="25.5" spans="1:6">
      <c r="A270" s="502" t="str">
        <f>'PB VII - Cotação'!A76</f>
        <v>COTAÇÃO 018</v>
      </c>
      <c r="B270" s="512" t="s">
        <v>975</v>
      </c>
      <c r="C270" s="504" t="s">
        <v>21</v>
      </c>
      <c r="D270" s="550">
        <f>0.991/3</f>
        <v>0.330333333333333</v>
      </c>
      <c r="E270" s="556">
        <f>'PB VII - Cotação'!F78</f>
        <v>19.58</v>
      </c>
      <c r="F270" s="551">
        <f>ROUND(D270*E270,2)</f>
        <v>6.47</v>
      </c>
    </row>
    <row r="271" ht="51" spans="1:6">
      <c r="A271" s="502">
        <v>91170</v>
      </c>
      <c r="B271" s="512" t="s">
        <v>976</v>
      </c>
      <c r="C271" s="504" t="s">
        <v>120</v>
      </c>
      <c r="D271" s="550">
        <v>1</v>
      </c>
      <c r="E271" s="311">
        <v>2.23</v>
      </c>
      <c r="F271" s="549">
        <f>ROUND(D271*E271,2)</f>
        <v>2.23</v>
      </c>
    </row>
    <row r="272" spans="4:6">
      <c r="D272" s="542" t="s">
        <v>779</v>
      </c>
      <c r="E272" s="542"/>
      <c r="F272" s="543">
        <f>SUM(F268:F271)</f>
        <v>10.89</v>
      </c>
    </row>
    <row r="274" ht="27.95" customHeight="1" spans="1:6">
      <c r="A274" s="518" t="s">
        <v>977</v>
      </c>
      <c r="B274" s="529" t="s">
        <v>676</v>
      </c>
      <c r="C274" s="530"/>
      <c r="D274" s="531"/>
      <c r="E274" s="532" t="s">
        <v>800</v>
      </c>
      <c r="F274" s="532" t="s">
        <v>801</v>
      </c>
    </row>
    <row r="275" spans="1:6">
      <c r="A275" s="533" t="s">
        <v>803</v>
      </c>
      <c r="B275" s="535" t="s">
        <v>804</v>
      </c>
      <c r="C275" s="535" t="s">
        <v>805</v>
      </c>
      <c r="D275" s="535" t="s">
        <v>8</v>
      </c>
      <c r="E275" s="535" t="s">
        <v>9</v>
      </c>
      <c r="F275" s="535" t="s">
        <v>10</v>
      </c>
    </row>
    <row r="276" spans="1:6">
      <c r="A276" s="552">
        <v>88264</v>
      </c>
      <c r="B276" s="553" t="s">
        <v>967</v>
      </c>
      <c r="C276" s="554" t="s">
        <v>807</v>
      </c>
      <c r="D276" s="555">
        <v>0.091</v>
      </c>
      <c r="E276" s="557">
        <v>19.18</v>
      </c>
      <c r="F276" s="551">
        <f>ROUND(D276*E276,2)</f>
        <v>1.75</v>
      </c>
    </row>
    <row r="277" spans="1:6">
      <c r="A277" s="552"/>
      <c r="B277" s="553"/>
      <c r="C277" s="554"/>
      <c r="D277" s="555"/>
      <c r="E277" s="558"/>
      <c r="F277" s="551"/>
    </row>
    <row r="278" ht="25.5" spans="1:6">
      <c r="A278" s="502">
        <v>88247</v>
      </c>
      <c r="B278" s="512" t="s">
        <v>968</v>
      </c>
      <c r="C278" s="504" t="s">
        <v>807</v>
      </c>
      <c r="D278" s="550">
        <v>0.091</v>
      </c>
      <c r="E278" s="506">
        <v>15.57</v>
      </c>
      <c r="F278" s="475">
        <f>ROUND(D278*E278,2)</f>
        <v>1.42</v>
      </c>
    </row>
    <row r="279" ht="25.5" spans="1:6">
      <c r="A279" s="502" t="str">
        <f>'PB VII - Cotação'!A72</f>
        <v>COTAÇÃO 017</v>
      </c>
      <c r="B279" s="512" t="s">
        <v>978</v>
      </c>
      <c r="C279" s="504" t="s">
        <v>21</v>
      </c>
      <c r="D279" s="550">
        <f>0.991/3</f>
        <v>0.330333333333333</v>
      </c>
      <c r="E279" s="506">
        <f>'PB VII - Cotação'!F74</f>
        <v>15.34</v>
      </c>
      <c r="F279" s="475">
        <f>ROUND(D279*E279,2)</f>
        <v>5.07</v>
      </c>
    </row>
    <row r="280" ht="51" spans="1:6">
      <c r="A280" s="502">
        <v>91170</v>
      </c>
      <c r="B280" s="512" t="s">
        <v>976</v>
      </c>
      <c r="C280" s="504" t="s">
        <v>120</v>
      </c>
      <c r="D280" s="550">
        <v>1</v>
      </c>
      <c r="E280" s="506">
        <f>E271</f>
        <v>2.23</v>
      </c>
      <c r="F280" s="475">
        <f>ROUND(D280*E280,2)</f>
        <v>2.23</v>
      </c>
    </row>
    <row r="281" spans="4:6">
      <c r="D281" s="542" t="s">
        <v>779</v>
      </c>
      <c r="E281" s="542"/>
      <c r="F281" s="543">
        <f>SUM(F276:F280)</f>
        <v>10.47</v>
      </c>
    </row>
    <row r="283" ht="27.75" customHeight="1" spans="1:6">
      <c r="A283" s="518" t="s">
        <v>979</v>
      </c>
      <c r="B283" s="529" t="s">
        <v>980</v>
      </c>
      <c r="C283" s="530"/>
      <c r="D283" s="531"/>
      <c r="E283" s="532" t="s">
        <v>800</v>
      </c>
      <c r="F283" s="532" t="s">
        <v>801</v>
      </c>
    </row>
    <row r="284" spans="1:6">
      <c r="A284" s="533" t="s">
        <v>803</v>
      </c>
      <c r="B284" s="535" t="s">
        <v>804</v>
      </c>
      <c r="C284" s="535" t="s">
        <v>805</v>
      </c>
      <c r="D284" s="535" t="s">
        <v>8</v>
      </c>
      <c r="E284" s="535" t="s">
        <v>9</v>
      </c>
      <c r="F284" s="535" t="s">
        <v>10</v>
      </c>
    </row>
    <row r="285" spans="1:6">
      <c r="A285" s="552">
        <v>88264</v>
      </c>
      <c r="B285" s="553" t="s">
        <v>967</v>
      </c>
      <c r="C285" s="554" t="s">
        <v>807</v>
      </c>
      <c r="D285" s="555">
        <v>0.251</v>
      </c>
      <c r="E285" s="557">
        <v>19.18</v>
      </c>
      <c r="F285" s="551">
        <f t="shared" ref="F285:F292" si="13">ROUND(D285*E285,2)</f>
        <v>4.81</v>
      </c>
    </row>
    <row r="286" spans="1:6">
      <c r="A286" s="552"/>
      <c r="B286" s="553"/>
      <c r="C286" s="554"/>
      <c r="D286" s="555"/>
      <c r="E286" s="558"/>
      <c r="F286" s="551"/>
    </row>
    <row r="287" ht="25.5" spans="1:6">
      <c r="A287" s="502">
        <v>88247</v>
      </c>
      <c r="B287" s="512" t="s">
        <v>968</v>
      </c>
      <c r="C287" s="504" t="s">
        <v>807</v>
      </c>
      <c r="D287" s="550">
        <v>0.251</v>
      </c>
      <c r="E287" s="506">
        <v>15.57</v>
      </c>
      <c r="F287" s="475">
        <f t="shared" si="13"/>
        <v>3.91</v>
      </c>
    </row>
    <row r="288" ht="25.5" spans="1:6">
      <c r="A288" s="559" t="str">
        <f>'PB VII - Cotação'!A80</f>
        <v>COTAÇÃO 019</v>
      </c>
      <c r="B288" s="560" t="s">
        <v>981</v>
      </c>
      <c r="C288" s="561" t="s">
        <v>21</v>
      </c>
      <c r="D288" s="562">
        <v>1</v>
      </c>
      <c r="E288" s="563">
        <f>'PB VII - Cotação'!F82</f>
        <v>9.88</v>
      </c>
      <c r="F288" s="564">
        <f t="shared" si="13"/>
        <v>9.88</v>
      </c>
    </row>
    <row r="289" spans="1:6">
      <c r="A289" s="502" t="str">
        <f>A259</f>
        <v>COTAÇÃO 012</v>
      </c>
      <c r="B289" s="512" t="s">
        <v>970</v>
      </c>
      <c r="C289" s="504" t="s">
        <v>21</v>
      </c>
      <c r="D289" s="550">
        <v>6</v>
      </c>
      <c r="E289" s="506">
        <f>E260</f>
        <v>0.61</v>
      </c>
      <c r="F289" s="475">
        <f t="shared" si="13"/>
        <v>3.66</v>
      </c>
    </row>
    <row r="290" spans="1:6">
      <c r="A290" s="502" t="str">
        <f>A260</f>
        <v>COTAÇÃO 013</v>
      </c>
      <c r="B290" s="512" t="s">
        <v>971</v>
      </c>
      <c r="C290" s="504" t="s">
        <v>21</v>
      </c>
      <c r="D290" s="550">
        <v>25.2</v>
      </c>
      <c r="E290" s="506">
        <f>E261</f>
        <v>0.1</v>
      </c>
      <c r="F290" s="475">
        <f t="shared" si="13"/>
        <v>2.52</v>
      </c>
    </row>
    <row r="291" spans="1:6">
      <c r="A291" s="502" t="str">
        <f>A261</f>
        <v>COTAÇÃO 014</v>
      </c>
      <c r="B291" s="512" t="s">
        <v>972</v>
      </c>
      <c r="C291" s="504" t="s">
        <v>21</v>
      </c>
      <c r="D291" s="550">
        <v>25.2</v>
      </c>
      <c r="E291" s="506">
        <f>E262</f>
        <v>0.16</v>
      </c>
      <c r="F291" s="475">
        <f t="shared" si="13"/>
        <v>4.03</v>
      </c>
    </row>
    <row r="292" spans="1:6">
      <c r="A292" s="502" t="str">
        <f>A262</f>
        <v>COTAÇÃO 015</v>
      </c>
      <c r="B292" s="512" t="s">
        <v>973</v>
      </c>
      <c r="C292" s="504" t="s">
        <v>21</v>
      </c>
      <c r="D292" s="550">
        <v>25.2</v>
      </c>
      <c r="E292" s="506">
        <f>E263</f>
        <v>0.09</v>
      </c>
      <c r="F292" s="475">
        <f t="shared" si="13"/>
        <v>2.27</v>
      </c>
    </row>
    <row r="293" spans="4:6">
      <c r="D293" s="542" t="s">
        <v>779</v>
      </c>
      <c r="E293" s="542"/>
      <c r="F293" s="543">
        <f>SUM(F285:F292)</f>
        <v>31.08</v>
      </c>
    </row>
    <row r="295" s="440" customFormat="1" ht="23.25" customHeight="1" spans="1:6">
      <c r="A295" s="518" t="s">
        <v>982</v>
      </c>
      <c r="B295" s="529" t="s">
        <v>680</v>
      </c>
      <c r="C295" s="530"/>
      <c r="D295" s="531"/>
      <c r="E295" s="532" t="s">
        <v>800</v>
      </c>
      <c r="F295" s="532" t="s">
        <v>801</v>
      </c>
    </row>
    <row r="296" ht="23.25" customHeight="1" spans="1:6">
      <c r="A296" s="533" t="s">
        <v>803</v>
      </c>
      <c r="B296" s="535" t="s">
        <v>804</v>
      </c>
      <c r="C296" s="535" t="s">
        <v>805</v>
      </c>
      <c r="D296" s="535" t="s">
        <v>8</v>
      </c>
      <c r="E296" s="535" t="s">
        <v>9</v>
      </c>
      <c r="F296" s="535" t="s">
        <v>10</v>
      </c>
    </row>
    <row r="297" ht="23.25" customHeight="1" spans="1:6">
      <c r="A297" s="552">
        <v>88264</v>
      </c>
      <c r="B297" s="553" t="s">
        <v>967</v>
      </c>
      <c r="C297" s="554" t="s">
        <v>807</v>
      </c>
      <c r="D297" s="555">
        <v>0.251</v>
      </c>
      <c r="E297" s="565">
        <v>19.18</v>
      </c>
      <c r="F297" s="551">
        <f>ROUND(D297*E297,2)</f>
        <v>4.81</v>
      </c>
    </row>
    <row r="298" ht="23.25" customHeight="1" spans="1:6">
      <c r="A298" s="552"/>
      <c r="B298" s="553"/>
      <c r="C298" s="554"/>
      <c r="D298" s="555"/>
      <c r="E298" s="566"/>
      <c r="F298" s="551"/>
    </row>
    <row r="299" ht="23.25" customHeight="1" spans="1:6">
      <c r="A299" s="502">
        <v>88247</v>
      </c>
      <c r="B299" s="512" t="s">
        <v>968</v>
      </c>
      <c r="C299" s="504" t="s">
        <v>807</v>
      </c>
      <c r="D299" s="550">
        <v>0.251</v>
      </c>
      <c r="E299" s="550">
        <v>15.57</v>
      </c>
      <c r="F299" s="475">
        <f t="shared" ref="F299:F304" si="14">ROUND(D299*E299,2)</f>
        <v>3.91</v>
      </c>
    </row>
    <row r="300" ht="23.25" customHeight="1" spans="1:6">
      <c r="A300" s="559" t="str">
        <f>'PB VII - Cotação'!A84</f>
        <v>COTAÇÃO 020</v>
      </c>
      <c r="B300" s="560" t="s">
        <v>981</v>
      </c>
      <c r="C300" s="561" t="s">
        <v>21</v>
      </c>
      <c r="D300" s="562">
        <v>1</v>
      </c>
      <c r="E300" s="562">
        <f>'PB VII - Cotação'!F86</f>
        <v>12.17</v>
      </c>
      <c r="F300" s="564">
        <f t="shared" si="14"/>
        <v>12.17</v>
      </c>
    </row>
    <row r="301" spans="1:6">
      <c r="A301" s="502" t="str">
        <f>A289</f>
        <v>COTAÇÃO 012</v>
      </c>
      <c r="B301" s="512" t="s">
        <v>970</v>
      </c>
      <c r="C301" s="504" t="s">
        <v>21</v>
      </c>
      <c r="D301" s="550">
        <v>6</v>
      </c>
      <c r="E301" s="550">
        <f>E289</f>
        <v>0.61</v>
      </c>
      <c r="F301" s="475">
        <f t="shared" si="14"/>
        <v>3.66</v>
      </c>
    </row>
    <row r="302" spans="1:6">
      <c r="A302" s="502" t="str">
        <f>A290</f>
        <v>COTAÇÃO 013</v>
      </c>
      <c r="B302" s="512" t="s">
        <v>971</v>
      </c>
      <c r="C302" s="504" t="s">
        <v>21</v>
      </c>
      <c r="D302" s="550">
        <v>25.2</v>
      </c>
      <c r="E302" s="550">
        <f>E290</f>
        <v>0.1</v>
      </c>
      <c r="F302" s="475">
        <f t="shared" si="14"/>
        <v>2.52</v>
      </c>
    </row>
    <row r="303" spans="1:6">
      <c r="A303" s="502" t="str">
        <f>A291</f>
        <v>COTAÇÃO 014</v>
      </c>
      <c r="B303" s="512" t="s">
        <v>972</v>
      </c>
      <c r="C303" s="504" t="s">
        <v>21</v>
      </c>
      <c r="D303" s="550">
        <v>25.2</v>
      </c>
      <c r="E303" s="550">
        <f>E291</f>
        <v>0.16</v>
      </c>
      <c r="F303" s="475">
        <f t="shared" si="14"/>
        <v>4.03</v>
      </c>
    </row>
    <row r="304" spans="1:6">
      <c r="A304" s="502" t="str">
        <f>A292</f>
        <v>COTAÇÃO 015</v>
      </c>
      <c r="B304" s="512" t="s">
        <v>973</v>
      </c>
      <c r="C304" s="504" t="s">
        <v>21</v>
      </c>
      <c r="D304" s="550">
        <v>25.2</v>
      </c>
      <c r="E304" s="550">
        <f>E292</f>
        <v>0.09</v>
      </c>
      <c r="F304" s="475">
        <f t="shared" si="14"/>
        <v>2.27</v>
      </c>
    </row>
    <row r="305" spans="4:6">
      <c r="D305" s="542" t="s">
        <v>779</v>
      </c>
      <c r="E305" s="542"/>
      <c r="F305" s="543">
        <f>SUM(F297:F304)</f>
        <v>33.37</v>
      </c>
    </row>
    <row r="308" ht="26.25" customHeight="1" spans="1:6">
      <c r="A308" s="518" t="s">
        <v>983</v>
      </c>
      <c r="B308" s="529" t="s">
        <v>984</v>
      </c>
      <c r="C308" s="530"/>
      <c r="D308" s="531"/>
      <c r="E308" s="532" t="s">
        <v>800</v>
      </c>
      <c r="F308" s="532" t="s">
        <v>801</v>
      </c>
    </row>
    <row r="309" spans="1:6">
      <c r="A309" s="533" t="s">
        <v>803</v>
      </c>
      <c r="B309" s="535" t="s">
        <v>804</v>
      </c>
      <c r="C309" s="535" t="s">
        <v>805</v>
      </c>
      <c r="D309" s="535" t="s">
        <v>8</v>
      </c>
      <c r="E309" s="535" t="s">
        <v>9</v>
      </c>
      <c r="F309" s="535" t="s">
        <v>10</v>
      </c>
    </row>
    <row r="310" spans="1:6">
      <c r="A310" s="552">
        <v>88264</v>
      </c>
      <c r="B310" s="553" t="s">
        <v>967</v>
      </c>
      <c r="C310" s="554" t="s">
        <v>807</v>
      </c>
      <c r="D310" s="555">
        <v>0.274</v>
      </c>
      <c r="E310" s="565">
        <v>19.18</v>
      </c>
      <c r="F310" s="551">
        <f t="shared" ref="F310:F317" si="15">ROUND(D310*E310,2)</f>
        <v>5.26</v>
      </c>
    </row>
    <row r="311" spans="1:6">
      <c r="A311" s="552"/>
      <c r="B311" s="553"/>
      <c r="C311" s="554"/>
      <c r="D311" s="555"/>
      <c r="E311" s="566"/>
      <c r="F311" s="551"/>
    </row>
    <row r="312" ht="25.5" spans="1:6">
      <c r="A312" s="502">
        <v>88247</v>
      </c>
      <c r="B312" s="512" t="s">
        <v>968</v>
      </c>
      <c r="C312" s="504" t="s">
        <v>807</v>
      </c>
      <c r="D312" s="550">
        <v>0.274</v>
      </c>
      <c r="E312" s="550">
        <v>15.57</v>
      </c>
      <c r="F312" s="475">
        <f t="shared" si="15"/>
        <v>4.27</v>
      </c>
    </row>
    <row r="313" ht="25.5" spans="1:6">
      <c r="A313" s="559" t="str">
        <f>'PB VII - Cotação'!A92</f>
        <v>COTAÇÃO 022</v>
      </c>
      <c r="B313" s="560" t="s">
        <v>985</v>
      </c>
      <c r="C313" s="561" t="s">
        <v>21</v>
      </c>
      <c r="D313" s="562">
        <v>1</v>
      </c>
      <c r="E313" s="562">
        <f>'PB VII - Cotação'!F94</f>
        <v>6.6</v>
      </c>
      <c r="F313" s="564">
        <f t="shared" si="15"/>
        <v>6.6</v>
      </c>
    </row>
    <row r="314" spans="1:6">
      <c r="A314" s="502" t="str">
        <f>A301</f>
        <v>COTAÇÃO 012</v>
      </c>
      <c r="B314" s="512" t="s">
        <v>970</v>
      </c>
      <c r="C314" s="504" t="s">
        <v>21</v>
      </c>
      <c r="D314" s="550">
        <v>4</v>
      </c>
      <c r="E314" s="550">
        <f>E301</f>
        <v>0.61</v>
      </c>
      <c r="F314" s="475">
        <f t="shared" si="15"/>
        <v>2.44</v>
      </c>
    </row>
    <row r="315" spans="1:6">
      <c r="A315" s="502" t="str">
        <f>A302</f>
        <v>COTAÇÃO 013</v>
      </c>
      <c r="B315" s="512" t="s">
        <v>971</v>
      </c>
      <c r="C315" s="504" t="s">
        <v>21</v>
      </c>
      <c r="D315" s="550">
        <v>16.8</v>
      </c>
      <c r="E315" s="550">
        <f>E302</f>
        <v>0.1</v>
      </c>
      <c r="F315" s="475">
        <f t="shared" si="15"/>
        <v>1.68</v>
      </c>
    </row>
    <row r="316" spans="1:6">
      <c r="A316" s="502" t="str">
        <f>A303</f>
        <v>COTAÇÃO 014</v>
      </c>
      <c r="B316" s="512" t="s">
        <v>972</v>
      </c>
      <c r="C316" s="504" t="s">
        <v>21</v>
      </c>
      <c r="D316" s="550">
        <v>16.8</v>
      </c>
      <c r="E316" s="550">
        <f>E303</f>
        <v>0.16</v>
      </c>
      <c r="F316" s="475">
        <f t="shared" si="15"/>
        <v>2.69</v>
      </c>
    </row>
    <row r="317" spans="1:6">
      <c r="A317" s="502" t="str">
        <f>A304</f>
        <v>COTAÇÃO 015</v>
      </c>
      <c r="B317" s="512" t="s">
        <v>973</v>
      </c>
      <c r="C317" s="504" t="s">
        <v>21</v>
      </c>
      <c r="D317" s="550">
        <v>16.8</v>
      </c>
      <c r="E317" s="550">
        <f>E304</f>
        <v>0.09</v>
      </c>
      <c r="F317" s="475">
        <f t="shared" si="15"/>
        <v>1.51</v>
      </c>
    </row>
    <row r="318" spans="4:6">
      <c r="D318" s="542" t="s">
        <v>779</v>
      </c>
      <c r="E318" s="542"/>
      <c r="F318" s="543">
        <f>SUM(F310:F317)</f>
        <v>24.45</v>
      </c>
    </row>
    <row r="320" ht="26.25" customHeight="1" spans="1:6">
      <c r="A320" s="518" t="s">
        <v>986</v>
      </c>
      <c r="B320" s="529" t="s">
        <v>987</v>
      </c>
      <c r="C320" s="530"/>
      <c r="D320" s="531"/>
      <c r="E320" s="532" t="s">
        <v>800</v>
      </c>
      <c r="F320" s="532" t="s">
        <v>801</v>
      </c>
    </row>
    <row r="321" spans="1:6">
      <c r="A321" s="533" t="s">
        <v>803</v>
      </c>
      <c r="B321" s="535" t="s">
        <v>804</v>
      </c>
      <c r="C321" s="535" t="s">
        <v>805</v>
      </c>
      <c r="D321" s="535" t="s">
        <v>8</v>
      </c>
      <c r="E321" s="535" t="s">
        <v>9</v>
      </c>
      <c r="F321" s="535" t="s">
        <v>10</v>
      </c>
    </row>
    <row r="322" spans="1:6">
      <c r="A322" s="552">
        <v>88264</v>
      </c>
      <c r="B322" s="553" t="s">
        <v>967</v>
      </c>
      <c r="C322" s="554" t="s">
        <v>807</v>
      </c>
      <c r="D322" s="555">
        <v>0.188</v>
      </c>
      <c r="E322" s="565">
        <v>19.18</v>
      </c>
      <c r="F322" s="551">
        <f t="shared" ref="F322:F329" si="16">ROUND(D322*E322,2)</f>
        <v>3.61</v>
      </c>
    </row>
    <row r="323" spans="1:6">
      <c r="A323" s="552"/>
      <c r="B323" s="553"/>
      <c r="C323" s="554"/>
      <c r="D323" s="555"/>
      <c r="E323" s="566"/>
      <c r="F323" s="551"/>
    </row>
    <row r="324" ht="25.5" spans="1:6">
      <c r="A324" s="502">
        <v>88247</v>
      </c>
      <c r="B324" s="512" t="s">
        <v>968</v>
      </c>
      <c r="C324" s="504" t="s">
        <v>807</v>
      </c>
      <c r="D324" s="550">
        <v>0.188</v>
      </c>
      <c r="E324" s="550">
        <v>15.57</v>
      </c>
      <c r="F324" s="475">
        <f t="shared" si="16"/>
        <v>2.93</v>
      </c>
    </row>
    <row r="325" ht="25.5" spans="1:6">
      <c r="A325" s="559" t="str">
        <f>'PB VII - Cotação'!A88</f>
        <v>COTAÇÃO 021</v>
      </c>
      <c r="B325" s="560" t="s">
        <v>988</v>
      </c>
      <c r="C325" s="561" t="s">
        <v>21</v>
      </c>
      <c r="D325" s="562">
        <v>1</v>
      </c>
      <c r="E325" s="562">
        <f>'PB VII - Cotação'!F86</f>
        <v>12.17</v>
      </c>
      <c r="F325" s="564">
        <f t="shared" si="16"/>
        <v>12.17</v>
      </c>
    </row>
    <row r="326" spans="1:6">
      <c r="A326" s="502" t="str">
        <f>A314</f>
        <v>COTAÇÃO 012</v>
      </c>
      <c r="B326" s="512" t="s">
        <v>970</v>
      </c>
      <c r="C326" s="504" t="s">
        <v>21</v>
      </c>
      <c r="D326" s="550">
        <v>4</v>
      </c>
      <c r="E326" s="550">
        <f>E314</f>
        <v>0.61</v>
      </c>
      <c r="F326" s="475">
        <f t="shared" si="16"/>
        <v>2.44</v>
      </c>
    </row>
    <row r="327" spans="1:6">
      <c r="A327" s="502" t="str">
        <f>A315</f>
        <v>COTAÇÃO 013</v>
      </c>
      <c r="B327" s="512" t="s">
        <v>971</v>
      </c>
      <c r="C327" s="504" t="s">
        <v>21</v>
      </c>
      <c r="D327" s="550">
        <v>16.8</v>
      </c>
      <c r="E327" s="550">
        <f>E315</f>
        <v>0.1</v>
      </c>
      <c r="F327" s="475">
        <f t="shared" si="16"/>
        <v>1.68</v>
      </c>
    </row>
    <row r="328" spans="1:6">
      <c r="A328" s="502" t="str">
        <f>A316</f>
        <v>COTAÇÃO 014</v>
      </c>
      <c r="B328" s="512" t="s">
        <v>972</v>
      </c>
      <c r="C328" s="504" t="s">
        <v>21</v>
      </c>
      <c r="D328" s="550">
        <v>16.8</v>
      </c>
      <c r="E328" s="550">
        <f>E316</f>
        <v>0.16</v>
      </c>
      <c r="F328" s="475">
        <f t="shared" si="16"/>
        <v>2.69</v>
      </c>
    </row>
    <row r="329" spans="1:6">
      <c r="A329" s="502" t="str">
        <f>A317</f>
        <v>COTAÇÃO 015</v>
      </c>
      <c r="B329" s="512" t="s">
        <v>973</v>
      </c>
      <c r="C329" s="504" t="s">
        <v>21</v>
      </c>
      <c r="D329" s="550">
        <v>16.8</v>
      </c>
      <c r="E329" s="550">
        <f>E317</f>
        <v>0.09</v>
      </c>
      <c r="F329" s="475">
        <f t="shared" si="16"/>
        <v>1.51</v>
      </c>
    </row>
    <row r="330" spans="4:6">
      <c r="D330" s="542" t="s">
        <v>779</v>
      </c>
      <c r="E330" s="542"/>
      <c r="F330" s="543">
        <f>SUM(F322:F329)</f>
        <v>27.03</v>
      </c>
    </row>
    <row r="332" spans="1:6">
      <c r="A332" s="518" t="s">
        <v>989</v>
      </c>
      <c r="B332" s="529" t="s">
        <v>686</v>
      </c>
      <c r="C332" s="530"/>
      <c r="D332" s="531"/>
      <c r="E332" s="532" t="s">
        <v>800</v>
      </c>
      <c r="F332" s="532" t="s">
        <v>801</v>
      </c>
    </row>
    <row r="333" spans="1:6">
      <c r="A333" s="533" t="s">
        <v>803</v>
      </c>
      <c r="B333" s="535" t="s">
        <v>804</v>
      </c>
      <c r="C333" s="535" t="s">
        <v>805</v>
      </c>
      <c r="D333" s="535" t="s">
        <v>8</v>
      </c>
      <c r="E333" s="535" t="s">
        <v>9</v>
      </c>
      <c r="F333" s="535" t="s">
        <v>10</v>
      </c>
    </row>
    <row r="334" spans="1:6">
      <c r="A334" s="552">
        <v>88264</v>
      </c>
      <c r="B334" s="553" t="s">
        <v>967</v>
      </c>
      <c r="C334" s="554" t="s">
        <v>807</v>
      </c>
      <c r="D334" s="555">
        <v>0.251</v>
      </c>
      <c r="E334" s="565">
        <v>19.18</v>
      </c>
      <c r="F334" s="551">
        <f>ROUND(D334*E334,2)</f>
        <v>4.81</v>
      </c>
    </row>
    <row r="335" spans="1:6">
      <c r="A335" s="552"/>
      <c r="B335" s="553"/>
      <c r="C335" s="554"/>
      <c r="D335" s="555"/>
      <c r="E335" s="566"/>
      <c r="F335" s="551"/>
    </row>
    <row r="336" ht="25.5" spans="1:6">
      <c r="A336" s="502">
        <v>88247</v>
      </c>
      <c r="B336" s="512" t="s">
        <v>968</v>
      </c>
      <c r="C336" s="504" t="s">
        <v>807</v>
      </c>
      <c r="D336" s="550">
        <v>0.251</v>
      </c>
      <c r="E336" s="550">
        <v>15.57</v>
      </c>
      <c r="F336" s="475">
        <f>ROUND(D336*E336,2)</f>
        <v>3.91</v>
      </c>
    </row>
    <row r="337" ht="25.5" spans="1:6">
      <c r="A337" s="559" t="str">
        <f>'PB VII - Cotação'!A96</f>
        <v>COTAÇÃO 023</v>
      </c>
      <c r="B337" s="560" t="s">
        <v>990</v>
      </c>
      <c r="C337" s="561" t="s">
        <v>21</v>
      </c>
      <c r="D337" s="562">
        <v>1</v>
      </c>
      <c r="E337" s="562">
        <f>'PB VII - Cotação'!F98</f>
        <v>8.78</v>
      </c>
      <c r="F337" s="564">
        <f>ROUND(D337*E337,2)</f>
        <v>8.78</v>
      </c>
    </row>
    <row r="338" spans="1:6">
      <c r="A338" s="502" t="str">
        <f>A326</f>
        <v>COTAÇÃO 012</v>
      </c>
      <c r="B338" s="512" t="s">
        <v>970</v>
      </c>
      <c r="C338" s="504" t="s">
        <v>21</v>
      </c>
      <c r="D338" s="550">
        <v>2</v>
      </c>
      <c r="E338" s="550">
        <f>E326</f>
        <v>0.61</v>
      </c>
      <c r="F338" s="475">
        <f>ROUND(D338*E338,2)</f>
        <v>1.22</v>
      </c>
    </row>
    <row r="339" spans="4:6">
      <c r="D339" s="542" t="s">
        <v>779</v>
      </c>
      <c r="E339" s="542"/>
      <c r="F339" s="543">
        <f>SUM(F334:F338)</f>
        <v>18.72</v>
      </c>
    </row>
    <row r="341" spans="1:6">
      <c r="A341" s="518" t="s">
        <v>991</v>
      </c>
      <c r="B341" s="529" t="s">
        <v>992</v>
      </c>
      <c r="C341" s="530"/>
      <c r="D341" s="531"/>
      <c r="E341" s="532" t="s">
        <v>800</v>
      </c>
      <c r="F341" s="532" t="s">
        <v>801</v>
      </c>
    </row>
    <row r="342" spans="1:6">
      <c r="A342" s="533" t="s">
        <v>803</v>
      </c>
      <c r="B342" s="535" t="s">
        <v>804</v>
      </c>
      <c r="C342" s="535" t="s">
        <v>805</v>
      </c>
      <c r="D342" s="535" t="s">
        <v>8</v>
      </c>
      <c r="E342" s="535" t="s">
        <v>9</v>
      </c>
      <c r="F342" s="535" t="s">
        <v>10</v>
      </c>
    </row>
    <row r="343" spans="1:6">
      <c r="A343" s="552">
        <v>88264</v>
      </c>
      <c r="B343" s="553" t="s">
        <v>967</v>
      </c>
      <c r="C343" s="554" t="s">
        <v>807</v>
      </c>
      <c r="D343" s="555">
        <v>0.16</v>
      </c>
      <c r="E343" s="565">
        <v>19.18</v>
      </c>
      <c r="F343" s="551">
        <f>ROUND(D343*E343,2)</f>
        <v>3.07</v>
      </c>
    </row>
    <row r="344" spans="1:6">
      <c r="A344" s="552"/>
      <c r="B344" s="553"/>
      <c r="C344" s="554"/>
      <c r="D344" s="555"/>
      <c r="E344" s="566"/>
      <c r="F344" s="551"/>
    </row>
    <row r="345" ht="25.5" spans="1:6">
      <c r="A345" s="502">
        <v>88247</v>
      </c>
      <c r="B345" s="512" t="s">
        <v>968</v>
      </c>
      <c r="C345" s="504" t="s">
        <v>807</v>
      </c>
      <c r="D345" s="567">
        <v>0.16</v>
      </c>
      <c r="E345" s="550">
        <v>15.57</v>
      </c>
      <c r="F345" s="475">
        <f>ROUND(D345*E345,2)</f>
        <v>2.49</v>
      </c>
    </row>
    <row r="346" ht="25.5" spans="1:6">
      <c r="A346" s="502" t="str">
        <f>'PB VII - Cotação'!A100</f>
        <v>COTAÇÃO 024</v>
      </c>
      <c r="B346" s="512" t="s">
        <v>993</v>
      </c>
      <c r="C346" s="504" t="s">
        <v>21</v>
      </c>
      <c r="D346" s="567">
        <v>1</v>
      </c>
      <c r="E346" s="550">
        <f>'PB VII - Cotação'!F102</f>
        <v>1.04</v>
      </c>
      <c r="F346" s="475">
        <f>ROUND(D346*E346,2)</f>
        <v>1.04</v>
      </c>
    </row>
    <row r="347" spans="4:6">
      <c r="D347" s="568" t="s">
        <v>779</v>
      </c>
      <c r="E347" s="568"/>
      <c r="F347" s="543">
        <f>SUM(F343:F346)</f>
        <v>6.6</v>
      </c>
    </row>
    <row r="349" spans="1:6">
      <c r="A349" s="518" t="s">
        <v>994</v>
      </c>
      <c r="B349" s="529" t="s">
        <v>690</v>
      </c>
      <c r="C349" s="530"/>
      <c r="D349" s="531"/>
      <c r="E349" s="532" t="s">
        <v>800</v>
      </c>
      <c r="F349" s="532" t="s">
        <v>801</v>
      </c>
    </row>
    <row r="350" spans="1:6">
      <c r="A350" s="533" t="s">
        <v>803</v>
      </c>
      <c r="B350" s="535" t="s">
        <v>804</v>
      </c>
      <c r="C350" s="535" t="s">
        <v>805</v>
      </c>
      <c r="D350" s="535" t="s">
        <v>8</v>
      </c>
      <c r="E350" s="535" t="s">
        <v>9</v>
      </c>
      <c r="F350" s="535" t="s">
        <v>10</v>
      </c>
    </row>
    <row r="351" spans="1:6">
      <c r="A351" s="552">
        <v>88264</v>
      </c>
      <c r="B351" s="553" t="s">
        <v>967</v>
      </c>
      <c r="C351" s="554" t="s">
        <v>807</v>
      </c>
      <c r="D351" s="555">
        <v>0.16</v>
      </c>
      <c r="E351" s="565">
        <v>19.18</v>
      </c>
      <c r="F351" s="551">
        <f t="shared" ref="F351:F354" si="17">ROUND(D351*E351,2)</f>
        <v>3.07</v>
      </c>
    </row>
    <row r="352" spans="1:6">
      <c r="A352" s="552"/>
      <c r="B352" s="553"/>
      <c r="C352" s="554"/>
      <c r="D352" s="555"/>
      <c r="E352" s="566"/>
      <c r="F352" s="551"/>
    </row>
    <row r="353" ht="25.5" spans="1:6">
      <c r="A353" s="502">
        <v>88247</v>
      </c>
      <c r="B353" s="512" t="s">
        <v>968</v>
      </c>
      <c r="C353" s="504" t="s">
        <v>807</v>
      </c>
      <c r="D353" s="567">
        <v>0.16</v>
      </c>
      <c r="E353" s="550">
        <v>15.57</v>
      </c>
      <c r="F353" s="475">
        <f t="shared" si="17"/>
        <v>2.49</v>
      </c>
    </row>
    <row r="354" ht="25.5" spans="1:6">
      <c r="A354" s="502" t="str">
        <f>'PB VII - Cotação'!A104</f>
        <v>COTAÇÃO 025</v>
      </c>
      <c r="B354" s="512" t="s">
        <v>995</v>
      </c>
      <c r="C354" s="504" t="s">
        <v>21</v>
      </c>
      <c r="D354" s="550">
        <v>1</v>
      </c>
      <c r="E354" s="550">
        <f>'PB VII - Cotação'!F106</f>
        <v>1.02</v>
      </c>
      <c r="F354" s="475">
        <f t="shared" si="17"/>
        <v>1.02</v>
      </c>
    </row>
    <row r="355" spans="4:6">
      <c r="D355" s="568" t="s">
        <v>779</v>
      </c>
      <c r="E355" s="568"/>
      <c r="F355" s="543">
        <f>SUM(F351:F354)</f>
        <v>6.58</v>
      </c>
    </row>
    <row r="357" ht="27" customHeight="1" spans="1:6">
      <c r="A357" s="518" t="s">
        <v>996</v>
      </c>
      <c r="B357" s="529" t="s">
        <v>696</v>
      </c>
      <c r="C357" s="530"/>
      <c r="D357" s="531"/>
      <c r="E357" s="532" t="s">
        <v>800</v>
      </c>
      <c r="F357" s="532" t="s">
        <v>801</v>
      </c>
    </row>
    <row r="358" spans="1:6">
      <c r="A358" s="533" t="s">
        <v>803</v>
      </c>
      <c r="B358" s="534" t="s">
        <v>804</v>
      </c>
      <c r="C358" s="535" t="s">
        <v>805</v>
      </c>
      <c r="D358" s="535" t="s">
        <v>8</v>
      </c>
      <c r="E358" s="535" t="s">
        <v>9</v>
      </c>
      <c r="F358" s="535" t="s">
        <v>10</v>
      </c>
    </row>
    <row r="359" ht="25.5" spans="1:6">
      <c r="A359" s="536">
        <v>2504</v>
      </c>
      <c r="B359" s="537" t="s">
        <v>997</v>
      </c>
      <c r="C359" s="538" t="s">
        <v>120</v>
      </c>
      <c r="D359" s="567">
        <v>1.05</v>
      </c>
      <c r="E359" s="539">
        <v>10.35</v>
      </c>
      <c r="F359" s="540">
        <f t="shared" ref="F359:F362" si="18">ROUND(D359*E359,2)</f>
        <v>10.87</v>
      </c>
    </row>
    <row r="360" spans="1:6">
      <c r="A360" s="541">
        <v>88247</v>
      </c>
      <c r="B360" s="537" t="s">
        <v>923</v>
      </c>
      <c r="C360" s="538" t="s">
        <v>807</v>
      </c>
      <c r="D360" s="569">
        <v>0.1414</v>
      </c>
      <c r="E360" s="539">
        <v>15.57</v>
      </c>
      <c r="F360" s="540">
        <f t="shared" si="18"/>
        <v>2.2</v>
      </c>
    </row>
    <row r="361" spans="1:6">
      <c r="A361" s="541">
        <v>88264</v>
      </c>
      <c r="B361" s="537" t="s">
        <v>915</v>
      </c>
      <c r="C361" s="570" t="s">
        <v>807</v>
      </c>
      <c r="D361" s="569">
        <v>0.1414</v>
      </c>
      <c r="E361" s="571">
        <v>19.18</v>
      </c>
      <c r="F361" s="540">
        <f t="shared" si="18"/>
        <v>2.71</v>
      </c>
    </row>
    <row r="362" ht="51" spans="1:6">
      <c r="A362" s="541">
        <v>91171</v>
      </c>
      <c r="B362" s="572" t="s">
        <v>998</v>
      </c>
      <c r="C362" s="570" t="s">
        <v>120</v>
      </c>
      <c r="D362" s="573">
        <v>1</v>
      </c>
      <c r="E362" s="573">
        <v>2.81</v>
      </c>
      <c r="F362" s="540">
        <f t="shared" si="18"/>
        <v>2.81</v>
      </c>
    </row>
    <row r="363" spans="4:6">
      <c r="D363" s="542" t="s">
        <v>779</v>
      </c>
      <c r="E363" s="542"/>
      <c r="F363" s="543">
        <f>SUM(F359:F362)</f>
        <v>18.59</v>
      </c>
    </row>
    <row r="364" spans="1:6">
      <c r="A364" s="491"/>
      <c r="B364" s="492"/>
      <c r="C364" s="492"/>
      <c r="D364" s="492"/>
      <c r="E364" s="492"/>
      <c r="F364" s="492"/>
    </row>
    <row r="365" spans="1:6">
      <c r="A365" s="491"/>
      <c r="B365" s="492"/>
      <c r="C365" s="492"/>
      <c r="D365" s="492"/>
      <c r="E365" s="492"/>
      <c r="F365" s="492"/>
    </row>
    <row r="366" spans="1:6">
      <c r="A366" s="463" t="s">
        <v>999</v>
      </c>
      <c r="B366" s="464" t="s">
        <v>1000</v>
      </c>
      <c r="C366" s="465"/>
      <c r="D366" s="466"/>
      <c r="E366" s="467" t="s">
        <v>800</v>
      </c>
      <c r="F366" s="467" t="s">
        <v>17</v>
      </c>
    </row>
    <row r="367" spans="1:6">
      <c r="A367" s="468" t="s">
        <v>803</v>
      </c>
      <c r="B367" s="469" t="s">
        <v>804</v>
      </c>
      <c r="C367" s="469" t="s">
        <v>805</v>
      </c>
      <c r="D367" s="469" t="s">
        <v>8</v>
      </c>
      <c r="E367" s="469" t="s">
        <v>9</v>
      </c>
      <c r="F367" s="469" t="s">
        <v>10</v>
      </c>
    </row>
    <row r="368" ht="25.5" spans="1:6">
      <c r="A368" s="470" t="s">
        <v>1001</v>
      </c>
      <c r="B368" s="471" t="s">
        <v>1002</v>
      </c>
      <c r="C368" s="471" t="s">
        <v>17</v>
      </c>
      <c r="D368" s="473">
        <v>1.05</v>
      </c>
      <c r="E368" s="474">
        <v>138.58</v>
      </c>
      <c r="F368" s="475">
        <f>ROUND(D368*E368,2)</f>
        <v>145.51</v>
      </c>
    </row>
    <row r="369" spans="1:6">
      <c r="A369" s="470" t="s">
        <v>1003</v>
      </c>
      <c r="B369" s="471" t="s">
        <v>1004</v>
      </c>
      <c r="C369" s="471" t="s">
        <v>17</v>
      </c>
      <c r="D369" s="473">
        <v>1.05</v>
      </c>
      <c r="E369" s="474">
        <v>26.36</v>
      </c>
      <c r="F369" s="475">
        <f>ROUND(D369*E369,2)</f>
        <v>27.68</v>
      </c>
    </row>
    <row r="370" spans="1:6">
      <c r="A370" s="470" t="s">
        <v>1005</v>
      </c>
      <c r="B370" s="471" t="s">
        <v>1006</v>
      </c>
      <c r="C370" s="471" t="s">
        <v>811</v>
      </c>
      <c r="D370" s="473">
        <v>0.5</v>
      </c>
      <c r="E370" s="474">
        <v>18.89</v>
      </c>
      <c r="F370" s="475">
        <f>ROUND(D370*E370,2)</f>
        <v>9.45</v>
      </c>
    </row>
    <row r="371" spans="1:6">
      <c r="A371" s="470">
        <v>88316</v>
      </c>
      <c r="B371" s="471" t="s">
        <v>806</v>
      </c>
      <c r="C371" s="471" t="s">
        <v>811</v>
      </c>
      <c r="D371" s="473">
        <v>0.5</v>
      </c>
      <c r="E371" s="474">
        <v>13.21</v>
      </c>
      <c r="F371" s="475">
        <f>ROUND(D371*E371,2)</f>
        <v>6.61</v>
      </c>
    </row>
    <row r="372" spans="1:6">
      <c r="A372" s="574"/>
      <c r="B372" s="575"/>
      <c r="C372" s="576"/>
      <c r="D372" s="479" t="s">
        <v>779</v>
      </c>
      <c r="E372" s="479"/>
      <c r="F372" s="480">
        <f>SUM(F368:F371)</f>
        <v>189.25</v>
      </c>
    </row>
    <row r="373" spans="1:6">
      <c r="A373" s="491"/>
      <c r="B373" s="492"/>
      <c r="C373" s="492"/>
      <c r="D373" s="492"/>
      <c r="E373" s="492"/>
      <c r="F373" s="492"/>
    </row>
    <row r="374" ht="25.5" spans="1:6">
      <c r="A374" s="463" t="s">
        <v>1007</v>
      </c>
      <c r="B374" s="464" t="s">
        <v>1008</v>
      </c>
      <c r="C374" s="465"/>
      <c r="D374" s="466"/>
      <c r="E374" s="467" t="s">
        <v>830</v>
      </c>
      <c r="F374" s="467" t="s">
        <v>805</v>
      </c>
    </row>
    <row r="375" spans="1:6">
      <c r="A375" s="468" t="s">
        <v>803</v>
      </c>
      <c r="B375" s="469" t="s">
        <v>804</v>
      </c>
      <c r="C375" s="469" t="s">
        <v>805</v>
      </c>
      <c r="D375" s="469" t="s">
        <v>8</v>
      </c>
      <c r="E375" s="469" t="s">
        <v>9</v>
      </c>
      <c r="F375" s="469" t="s">
        <v>10</v>
      </c>
    </row>
    <row r="376" ht="25.5" spans="1:6">
      <c r="A376" s="470">
        <v>88267</v>
      </c>
      <c r="B376" s="471" t="s">
        <v>1009</v>
      </c>
      <c r="C376" s="471" t="s">
        <v>811</v>
      </c>
      <c r="D376" s="473">
        <v>0.6</v>
      </c>
      <c r="E376" s="474">
        <v>18.96</v>
      </c>
      <c r="F376" s="475">
        <f>ROUND(D376*E376,2)</f>
        <v>11.38</v>
      </c>
    </row>
    <row r="377" spans="1:6">
      <c r="A377" s="470">
        <v>88316</v>
      </c>
      <c r="B377" s="471" t="s">
        <v>894</v>
      </c>
      <c r="C377" s="471" t="s">
        <v>811</v>
      </c>
      <c r="D377" s="473">
        <v>0.6</v>
      </c>
      <c r="E377" s="474">
        <v>13.21</v>
      </c>
      <c r="F377" s="475">
        <f>ROUND(D377*E377,2)</f>
        <v>7.93</v>
      </c>
    </row>
    <row r="378" spans="1:6">
      <c r="A378" s="491"/>
      <c r="B378" s="492"/>
      <c r="C378" s="492"/>
      <c r="D378" s="479" t="s">
        <v>779</v>
      </c>
      <c r="E378" s="479"/>
      <c r="F378" s="480">
        <f>SUM(F376:F377)</f>
        <v>19.31</v>
      </c>
    </row>
    <row r="379" spans="1:6">
      <c r="A379" s="491"/>
      <c r="B379" s="492"/>
      <c r="C379" s="492"/>
      <c r="D379" s="492"/>
      <c r="E379" s="492"/>
      <c r="F379" s="492"/>
    </row>
    <row r="380" ht="25.5" spans="1:6">
      <c r="A380" s="463" t="s">
        <v>1010</v>
      </c>
      <c r="B380" s="464" t="s">
        <v>1011</v>
      </c>
      <c r="C380" s="465"/>
      <c r="D380" s="466"/>
      <c r="E380" s="467" t="s">
        <v>830</v>
      </c>
      <c r="F380" s="467" t="s">
        <v>805</v>
      </c>
    </row>
    <row r="381" spans="1:6">
      <c r="A381" s="468" t="s">
        <v>803</v>
      </c>
      <c r="B381" s="469" t="s">
        <v>804</v>
      </c>
      <c r="C381" s="469" t="s">
        <v>805</v>
      </c>
      <c r="D381" s="469" t="s">
        <v>8</v>
      </c>
      <c r="E381" s="469" t="s">
        <v>9</v>
      </c>
      <c r="F381" s="469" t="s">
        <v>10</v>
      </c>
    </row>
    <row r="382" spans="1:6">
      <c r="A382" s="470">
        <v>88264</v>
      </c>
      <c r="B382" s="471" t="s">
        <v>967</v>
      </c>
      <c r="C382" s="471" t="s">
        <v>811</v>
      </c>
      <c r="D382" s="473">
        <v>0.6</v>
      </c>
      <c r="E382" s="474">
        <v>19.18</v>
      </c>
      <c r="F382" s="475">
        <f>ROUND(D382*E382,2)</f>
        <v>11.51</v>
      </c>
    </row>
    <row r="383" spans="1:6">
      <c r="A383" s="470">
        <v>88316</v>
      </c>
      <c r="B383" s="471" t="s">
        <v>894</v>
      </c>
      <c r="C383" s="471" t="s">
        <v>811</v>
      </c>
      <c r="D383" s="473">
        <v>0.6</v>
      </c>
      <c r="E383" s="474">
        <v>13.21</v>
      </c>
      <c r="F383" s="475">
        <f>ROUND(D383*E383,2)</f>
        <v>7.93</v>
      </c>
    </row>
    <row r="384" spans="1:6">
      <c r="A384" s="491"/>
      <c r="B384" s="492"/>
      <c r="C384" s="492"/>
      <c r="D384" s="479" t="s">
        <v>779</v>
      </c>
      <c r="E384" s="479"/>
      <c r="F384" s="480">
        <f>SUM(F382:F383)</f>
        <v>19.44</v>
      </c>
    </row>
    <row r="385" spans="1:3">
      <c r="A385" s="491"/>
      <c r="B385" s="492"/>
      <c r="C385" s="492"/>
    </row>
    <row r="386" spans="1:6">
      <c r="A386" s="463" t="s">
        <v>1012</v>
      </c>
      <c r="B386" s="464" t="s">
        <v>1013</v>
      </c>
      <c r="C386" s="465"/>
      <c r="D386" s="466"/>
      <c r="E386" s="467" t="s">
        <v>800</v>
      </c>
      <c r="F386" s="467" t="s">
        <v>801</v>
      </c>
    </row>
    <row r="387" spans="1:8">
      <c r="A387" s="468" t="s">
        <v>803</v>
      </c>
      <c r="B387" s="469" t="s">
        <v>804</v>
      </c>
      <c r="C387" s="469" t="s">
        <v>805</v>
      </c>
      <c r="D387" s="469" t="s">
        <v>8</v>
      </c>
      <c r="E387" s="469" t="s">
        <v>9</v>
      </c>
      <c r="F387" s="469" t="s">
        <v>10</v>
      </c>
      <c r="G387" s="577"/>
      <c r="H387" s="578"/>
    </row>
    <row r="388" spans="1:8">
      <c r="A388" s="508">
        <v>72843</v>
      </c>
      <c r="B388" s="471" t="s">
        <v>1014</v>
      </c>
      <c r="C388" s="472" t="s">
        <v>1015</v>
      </c>
      <c r="D388" s="579">
        <f>'PB VI - Memorial'!E656</f>
        <v>7371.61226984</v>
      </c>
      <c r="E388" s="474">
        <v>0.6</v>
      </c>
      <c r="F388" s="475">
        <f>ROUND(D388*E388,2)</f>
        <v>4422.97</v>
      </c>
      <c r="G388" s="578"/>
      <c r="H388" s="578"/>
    </row>
    <row r="389" spans="1:8">
      <c r="A389" s="508">
        <v>72840</v>
      </c>
      <c r="B389" s="471" t="s">
        <v>1016</v>
      </c>
      <c r="C389" s="472" t="s">
        <v>1015</v>
      </c>
      <c r="D389" s="579">
        <f>'PB VI - Memorial'!E657</f>
        <v>11458.3465039501</v>
      </c>
      <c r="E389" s="474">
        <v>0.47</v>
      </c>
      <c r="F389" s="475">
        <f>ROUND(D389*E389,2)</f>
        <v>5385.42</v>
      </c>
      <c r="G389" s="578"/>
      <c r="H389" s="578"/>
    </row>
    <row r="390" spans="1:6">
      <c r="A390" s="488"/>
      <c r="B390" s="489"/>
      <c r="C390" s="490"/>
      <c r="D390" s="580" t="s">
        <v>779</v>
      </c>
      <c r="E390" s="580"/>
      <c r="F390" s="581">
        <f>SUM(F388:F389)</f>
        <v>9808.39</v>
      </c>
    </row>
    <row r="391" spans="1:6">
      <c r="A391" s="456" t="s">
        <v>1017</v>
      </c>
      <c r="B391" s="457"/>
      <c r="C391" s="457"/>
      <c r="D391" s="457"/>
      <c r="E391" s="457"/>
      <c r="F391" s="458"/>
    </row>
    <row r="392" spans="1:6">
      <c r="A392" s="491"/>
      <c r="B392" s="492"/>
      <c r="C392" s="492"/>
      <c r="D392" s="492"/>
      <c r="E392" s="492"/>
      <c r="F392" s="492"/>
    </row>
    <row r="393" spans="1:6">
      <c r="A393" s="463" t="s">
        <v>1018</v>
      </c>
      <c r="B393" s="464" t="s">
        <v>1019</v>
      </c>
      <c r="C393" s="465"/>
      <c r="D393" s="466"/>
      <c r="E393" s="467" t="s">
        <v>800</v>
      </c>
      <c r="F393" s="467" t="s">
        <v>801</v>
      </c>
    </row>
    <row r="394" spans="1:6">
      <c r="A394" s="468" t="s">
        <v>803</v>
      </c>
      <c r="B394" s="469" t="s">
        <v>804</v>
      </c>
      <c r="C394" s="469" t="s">
        <v>805</v>
      </c>
      <c r="D394" s="469" t="s">
        <v>8</v>
      </c>
      <c r="E394" s="469" t="s">
        <v>9</v>
      </c>
      <c r="F394" s="469" t="s">
        <v>10</v>
      </c>
    </row>
    <row r="395" ht="25.5" spans="1:6">
      <c r="A395" s="502">
        <v>90777</v>
      </c>
      <c r="B395" s="512" t="s">
        <v>1020</v>
      </c>
      <c r="C395" s="504" t="s">
        <v>807</v>
      </c>
      <c r="D395" s="521">
        <f>2*4*4*7</f>
        <v>224</v>
      </c>
      <c r="E395" s="475">
        <v>69</v>
      </c>
      <c r="F395" s="475">
        <f>ROUND(D395*E395,2)</f>
        <v>15456</v>
      </c>
    </row>
    <row r="396" ht="25.5" spans="1:6">
      <c r="A396" s="502">
        <v>94295</v>
      </c>
      <c r="B396" s="512" t="s">
        <v>1021</v>
      </c>
      <c r="C396" s="504" t="s">
        <v>1022</v>
      </c>
      <c r="D396" s="521">
        <v>7</v>
      </c>
      <c r="E396" s="475">
        <v>5903.33</v>
      </c>
      <c r="F396" s="475">
        <f t="shared" ref="F396:F397" si="19">ROUND(D396*E396,2)</f>
        <v>41323.31</v>
      </c>
    </row>
    <row r="397" ht="24.75" customHeight="1" spans="1:6">
      <c r="A397" s="502">
        <v>88326</v>
      </c>
      <c r="B397" s="512" t="s">
        <v>1023</v>
      </c>
      <c r="C397" s="504" t="s">
        <v>1022</v>
      </c>
      <c r="D397" s="521">
        <v>7</v>
      </c>
      <c r="E397" s="475">
        <f>(17.21/1.8716)*220*1.4834</f>
        <v>3000.88110707416</v>
      </c>
      <c r="F397" s="475">
        <f t="shared" si="19"/>
        <v>21006.17</v>
      </c>
    </row>
    <row r="398" spans="1:6">
      <c r="A398" s="488"/>
      <c r="B398" s="489"/>
      <c r="C398" s="490"/>
      <c r="D398" s="479" t="s">
        <v>779</v>
      </c>
      <c r="E398" s="479"/>
      <c r="F398" s="480">
        <f>SUM(F395:F397)</f>
        <v>77785.48</v>
      </c>
    </row>
    <row r="399" spans="1:6">
      <c r="A399" s="491"/>
      <c r="B399" s="492"/>
      <c r="C399" s="492"/>
      <c r="D399" s="492"/>
      <c r="E399" s="492"/>
      <c r="F399" s="492"/>
    </row>
    <row r="400" spans="1:6">
      <c r="A400" s="582"/>
      <c r="B400" s="583"/>
      <c r="C400" s="583"/>
      <c r="D400" s="583"/>
      <c r="E400" s="583"/>
      <c r="F400" s="583"/>
    </row>
    <row r="401" spans="1:6">
      <c r="A401" s="584"/>
      <c r="B401" s="585"/>
      <c r="C401" s="585"/>
      <c r="D401" s="585"/>
      <c r="E401" s="585"/>
      <c r="F401" s="585"/>
    </row>
    <row r="404" spans="1:6">
      <c r="A404" s="586"/>
      <c r="B404" s="587"/>
      <c r="C404" s="587"/>
      <c r="D404" s="587"/>
      <c r="E404" s="587"/>
      <c r="F404" s="587"/>
    </row>
    <row r="405" spans="1:6">
      <c r="A405" s="586"/>
      <c r="B405" s="587"/>
      <c r="C405" s="587"/>
      <c r="D405" s="587"/>
      <c r="E405" s="587"/>
      <c r="F405" s="587"/>
    </row>
  </sheetData>
  <mergeCells count="147">
    <mergeCell ref="A1:F1"/>
    <mergeCell ref="A2:F2"/>
    <mergeCell ref="A3:F3"/>
    <mergeCell ref="A4:F4"/>
    <mergeCell ref="A5:F5"/>
    <mergeCell ref="A6:F6"/>
    <mergeCell ref="B8:D8"/>
    <mergeCell ref="D11:E11"/>
    <mergeCell ref="B13:D13"/>
    <mergeCell ref="D17:E17"/>
    <mergeCell ref="B19:D19"/>
    <mergeCell ref="D23:E23"/>
    <mergeCell ref="B25:D25"/>
    <mergeCell ref="D29:E29"/>
    <mergeCell ref="B31:D31"/>
    <mergeCell ref="D35:E35"/>
    <mergeCell ref="B37:D37"/>
    <mergeCell ref="D40:E40"/>
    <mergeCell ref="B42:D42"/>
    <mergeCell ref="D49:E49"/>
    <mergeCell ref="B51:D51"/>
    <mergeCell ref="D54:E54"/>
    <mergeCell ref="B56:D56"/>
    <mergeCell ref="D70:E70"/>
    <mergeCell ref="B72:D72"/>
    <mergeCell ref="D86:E86"/>
    <mergeCell ref="B88:D88"/>
    <mergeCell ref="D99:E99"/>
    <mergeCell ref="B101:D101"/>
    <mergeCell ref="D112:E112"/>
    <mergeCell ref="B114:D114"/>
    <mergeCell ref="D121:E121"/>
    <mergeCell ref="B123:D123"/>
    <mergeCell ref="D129:E129"/>
    <mergeCell ref="B131:D131"/>
    <mergeCell ref="D137:E137"/>
    <mergeCell ref="B139:D139"/>
    <mergeCell ref="D145:E145"/>
    <mergeCell ref="B147:D147"/>
    <mergeCell ref="D156:E156"/>
    <mergeCell ref="B158:D158"/>
    <mergeCell ref="D164:E164"/>
    <mergeCell ref="B166:D166"/>
    <mergeCell ref="D171:E171"/>
    <mergeCell ref="B173:D173"/>
    <mergeCell ref="D178:E178"/>
    <mergeCell ref="B180:D180"/>
    <mergeCell ref="D186:E186"/>
    <mergeCell ref="B188:D188"/>
    <mergeCell ref="D194:E194"/>
    <mergeCell ref="B196:D196"/>
    <mergeCell ref="D202:E202"/>
    <mergeCell ref="B204:D204"/>
    <mergeCell ref="D211:E211"/>
    <mergeCell ref="B213:D213"/>
    <mergeCell ref="D229:E229"/>
    <mergeCell ref="B231:D231"/>
    <mergeCell ref="D235:E235"/>
    <mergeCell ref="B237:D237"/>
    <mergeCell ref="D241:E241"/>
    <mergeCell ref="B243:D243"/>
    <mergeCell ref="D247:E247"/>
    <mergeCell ref="B249:D249"/>
    <mergeCell ref="D253:E253"/>
    <mergeCell ref="B255:D255"/>
    <mergeCell ref="D264:E264"/>
    <mergeCell ref="B266:D266"/>
    <mergeCell ref="D272:E272"/>
    <mergeCell ref="B274:D274"/>
    <mergeCell ref="D281:E281"/>
    <mergeCell ref="B283:D283"/>
    <mergeCell ref="D293:E293"/>
    <mergeCell ref="B295:D295"/>
    <mergeCell ref="D305:E305"/>
    <mergeCell ref="B308:D308"/>
    <mergeCell ref="D318:E318"/>
    <mergeCell ref="B320:D320"/>
    <mergeCell ref="D330:E330"/>
    <mergeCell ref="B332:D332"/>
    <mergeCell ref="D339:E339"/>
    <mergeCell ref="B341:D341"/>
    <mergeCell ref="D347:E347"/>
    <mergeCell ref="B349:D349"/>
    <mergeCell ref="D355:E355"/>
    <mergeCell ref="B357:D357"/>
    <mergeCell ref="D363:E363"/>
    <mergeCell ref="B366:D366"/>
    <mergeCell ref="D372:E372"/>
    <mergeCell ref="B374:D374"/>
    <mergeCell ref="D378:E378"/>
    <mergeCell ref="B380:D380"/>
    <mergeCell ref="D384:E384"/>
    <mergeCell ref="B386:D386"/>
    <mergeCell ref="D390:E390"/>
    <mergeCell ref="A391:F391"/>
    <mergeCell ref="B393:D393"/>
    <mergeCell ref="D398:E398"/>
    <mergeCell ref="A400:F400"/>
    <mergeCell ref="A401:F401"/>
    <mergeCell ref="A276:A277"/>
    <mergeCell ref="A285:A286"/>
    <mergeCell ref="A297:A298"/>
    <mergeCell ref="A310:A311"/>
    <mergeCell ref="A322:A323"/>
    <mergeCell ref="A334:A335"/>
    <mergeCell ref="A343:A344"/>
    <mergeCell ref="A351:A352"/>
    <mergeCell ref="B276:B277"/>
    <mergeCell ref="B285:B286"/>
    <mergeCell ref="B297:B298"/>
    <mergeCell ref="B310:B311"/>
    <mergeCell ref="B322:B323"/>
    <mergeCell ref="B334:B335"/>
    <mergeCell ref="B343:B344"/>
    <mergeCell ref="B351:B352"/>
    <mergeCell ref="C276:C277"/>
    <mergeCell ref="C285:C286"/>
    <mergeCell ref="C297:C298"/>
    <mergeCell ref="C310:C311"/>
    <mergeCell ref="C322:C323"/>
    <mergeCell ref="C334:C335"/>
    <mergeCell ref="C343:C344"/>
    <mergeCell ref="C351:C352"/>
    <mergeCell ref="D276:D277"/>
    <mergeCell ref="D285:D286"/>
    <mergeCell ref="D297:D298"/>
    <mergeCell ref="D310:D311"/>
    <mergeCell ref="D322:D323"/>
    <mergeCell ref="D334:D335"/>
    <mergeCell ref="D343:D344"/>
    <mergeCell ref="D351:D352"/>
    <mergeCell ref="E276:E277"/>
    <mergeCell ref="E285:E286"/>
    <mergeCell ref="E297:E298"/>
    <mergeCell ref="E310:E311"/>
    <mergeCell ref="E322:E323"/>
    <mergeCell ref="E334:E335"/>
    <mergeCell ref="E343:E344"/>
    <mergeCell ref="E351:E352"/>
    <mergeCell ref="F276:F277"/>
    <mergeCell ref="F285:F286"/>
    <mergeCell ref="F297:F298"/>
    <mergeCell ref="F310:F311"/>
    <mergeCell ref="F322:F323"/>
    <mergeCell ref="F334:F335"/>
    <mergeCell ref="F343:F344"/>
    <mergeCell ref="F351:F352"/>
  </mergeCells>
  <printOptions horizontalCentered="1"/>
  <pageMargins left="0.393055555555556" right="0" top="1.37777777777778" bottom="0.393055555555556" header="0" footer="0"/>
  <pageSetup paperSize="9" scale="78" orientation="portrait"/>
  <headerFooter>
    <oddHeader>&amp;C&amp;10
&amp;G
DEFENSORIA PÚBLICA DO ESTADO DE RORAIMA
“Amazônia: Patrimônio dos brasileiros”
____________________________________________________________________________________________________</oddHeader>
    <oddFooter>&amp;C&amp;"Arial,Normal"&amp;9Página &amp;P de &amp;N</oddFooter>
  </headerFooter>
  <rowBreaks count="9" manualBreakCount="9">
    <brk id="41" max="5" man="1"/>
    <brk id="86" max="5" man="1"/>
    <brk id="122" max="5" man="1"/>
    <brk id="171" max="5" man="1"/>
    <brk id="212" max="5" man="1"/>
    <brk id="253" max="5" man="1"/>
    <brk id="294" max="5" man="1"/>
    <brk id="331" max="5" man="1"/>
    <brk id="378" max="5" man="1"/>
  </rowBreaks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0000"/>
  </sheetPr>
  <dimension ref="A1:O660"/>
  <sheetViews>
    <sheetView view="pageBreakPreview" zoomScaleNormal="90" zoomScaleSheetLayoutView="100" topLeftCell="A531" workbookViewId="0">
      <selection activeCell="I545" sqref="I545"/>
    </sheetView>
  </sheetViews>
  <sheetFormatPr defaultColWidth="9.14285714285714" defaultRowHeight="15"/>
  <cols>
    <col min="1" max="1" width="35.5714285714286" style="150" customWidth="1"/>
    <col min="2" max="2" width="12" style="150" customWidth="1"/>
    <col min="3" max="3" width="11.7142857142857" style="168" customWidth="1"/>
    <col min="4" max="4" width="10.5714285714286" style="168" customWidth="1"/>
    <col min="5" max="5" width="10.7142857142857" style="168" customWidth="1"/>
    <col min="6" max="6" width="12.5714285714286" style="150" customWidth="1"/>
    <col min="7" max="7" width="10" style="150" customWidth="1"/>
    <col min="8" max="16384" width="9.14285714285714" style="169"/>
  </cols>
  <sheetData>
    <row r="1" spans="1:8">
      <c r="A1" s="170" t="s">
        <v>1024</v>
      </c>
      <c r="B1" s="171"/>
      <c r="C1" s="171"/>
      <c r="D1" s="171"/>
      <c r="E1" s="171"/>
      <c r="F1" s="171"/>
      <c r="G1" s="172"/>
      <c r="H1" s="173"/>
    </row>
    <row r="2" ht="4.5" customHeight="1" spans="1:7">
      <c r="A2" s="174"/>
      <c r="B2" s="174"/>
      <c r="C2" s="175"/>
      <c r="D2" s="175"/>
      <c r="E2" s="175"/>
      <c r="F2" s="174"/>
      <c r="G2" s="174"/>
    </row>
    <row r="3" ht="23.25" customHeight="1" spans="1:7">
      <c r="A3" s="176" t="str">
        <f>'PB III - Orçamento Sintetico'!A4:G4</f>
        <v>OBRA: CONSTRUÇÃO DA SEDE DA DEFENSORIA PÚBLICA DO ESTADO DE RORAIMA NO MUNICIPIO DE ALTO ALEGRE - DPE/RR</v>
      </c>
      <c r="B3" s="177"/>
      <c r="C3" s="177"/>
      <c r="D3" s="177"/>
      <c r="E3" s="177"/>
      <c r="F3" s="177"/>
      <c r="G3" s="178"/>
    </row>
    <row r="4" ht="4.5" customHeight="1" spans="1:7">
      <c r="A4" s="174"/>
      <c r="B4" s="174"/>
      <c r="C4" s="175"/>
      <c r="D4" s="175"/>
      <c r="E4" s="175"/>
      <c r="F4" s="174"/>
      <c r="G4" s="174"/>
    </row>
    <row r="5" ht="4.35" customHeight="1" spans="1:7">
      <c r="A5" s="179"/>
      <c r="B5" s="179"/>
      <c r="C5" s="180"/>
      <c r="D5" s="180"/>
      <c r="E5" s="180"/>
      <c r="F5" s="179"/>
      <c r="G5" s="179"/>
    </row>
    <row r="6" spans="1:7">
      <c r="A6" s="181" t="s">
        <v>1025</v>
      </c>
      <c r="B6" s="182"/>
      <c r="C6" s="182"/>
      <c r="D6" s="182"/>
      <c r="E6" s="182"/>
      <c r="F6" s="182"/>
      <c r="G6" s="183"/>
    </row>
    <row r="7" spans="1:7">
      <c r="A7" s="184" t="s">
        <v>1026</v>
      </c>
      <c r="B7" s="185"/>
      <c r="C7" s="186"/>
      <c r="D7" s="186"/>
      <c r="E7" s="186"/>
      <c r="F7" s="185"/>
      <c r="G7" s="187" t="s">
        <v>1027</v>
      </c>
    </row>
    <row r="8" spans="1:7">
      <c r="A8" s="188" t="s">
        <v>1028</v>
      </c>
      <c r="B8" s="189"/>
      <c r="C8" s="190"/>
      <c r="D8" s="190"/>
      <c r="E8" s="190"/>
      <c r="F8" s="189"/>
      <c r="G8" s="189">
        <v>227.5</v>
      </c>
    </row>
    <row r="9" spans="1:7">
      <c r="A9" s="188" t="s">
        <v>1029</v>
      </c>
      <c r="B9" s="189"/>
      <c r="C9" s="190"/>
      <c r="D9" s="190"/>
      <c r="E9" s="190"/>
      <c r="F9" s="189"/>
      <c r="G9" s="189">
        <v>525</v>
      </c>
    </row>
    <row r="10" spans="1:7">
      <c r="A10" s="188" t="s">
        <v>1030</v>
      </c>
      <c r="B10" s="189"/>
      <c r="C10" s="190"/>
      <c r="D10" s="190"/>
      <c r="E10" s="190"/>
      <c r="F10" s="189"/>
      <c r="G10" s="189">
        <v>241</v>
      </c>
    </row>
    <row r="11" spans="1:7">
      <c r="A11" s="191"/>
      <c r="B11" s="191"/>
      <c r="C11" s="191"/>
      <c r="D11" s="191"/>
      <c r="E11" s="191"/>
      <c r="F11" s="191"/>
      <c r="G11" s="191"/>
    </row>
    <row r="12" spans="1:7">
      <c r="A12" s="181" t="s">
        <v>1031</v>
      </c>
      <c r="B12" s="182"/>
      <c r="C12" s="182"/>
      <c r="D12" s="182"/>
      <c r="E12" s="182"/>
      <c r="F12" s="182"/>
      <c r="G12" s="183"/>
    </row>
    <row r="13" spans="1:7">
      <c r="A13" s="184" t="s">
        <v>1026</v>
      </c>
      <c r="B13" s="185"/>
      <c r="C13" s="186" t="s">
        <v>801</v>
      </c>
      <c r="D13" s="186" t="s">
        <v>1032</v>
      </c>
      <c r="E13" s="186" t="s">
        <v>1033</v>
      </c>
      <c r="F13" s="185" t="s">
        <v>1034</v>
      </c>
      <c r="G13" s="187" t="s">
        <v>779</v>
      </c>
    </row>
    <row r="14" spans="1:7">
      <c r="A14" s="192" t="s">
        <v>13</v>
      </c>
      <c r="B14" s="193"/>
      <c r="C14" s="194"/>
      <c r="D14" s="194"/>
      <c r="E14" s="194"/>
      <c r="F14" s="193"/>
      <c r="G14" s="195"/>
    </row>
    <row r="15" spans="1:7">
      <c r="A15" s="188" t="s">
        <v>1035</v>
      </c>
      <c r="B15" s="193"/>
      <c r="C15" s="194"/>
      <c r="D15" s="190">
        <v>35</v>
      </c>
      <c r="E15" s="190"/>
      <c r="F15" s="189">
        <v>15</v>
      </c>
      <c r="G15" s="189">
        <f>ROUND(D15*F15,2)</f>
        <v>525</v>
      </c>
    </row>
    <row r="16" spans="1:7">
      <c r="A16" s="188" t="s">
        <v>1036</v>
      </c>
      <c r="B16" s="193"/>
      <c r="C16" s="196">
        <v>5</v>
      </c>
      <c r="D16" s="190"/>
      <c r="E16" s="190"/>
      <c r="F16" s="189"/>
      <c r="G16" s="189"/>
    </row>
    <row r="17" spans="1:7">
      <c r="A17" s="188" t="s">
        <v>1037</v>
      </c>
      <c r="B17" s="193"/>
      <c r="C17" s="194"/>
      <c r="D17" s="190">
        <v>24.25</v>
      </c>
      <c r="E17" s="190"/>
      <c r="F17" s="189">
        <v>13</v>
      </c>
      <c r="G17" s="189">
        <f>ROUND(D17*F17,2)</f>
        <v>315.25</v>
      </c>
    </row>
    <row r="18" spans="1:7">
      <c r="A18" s="188"/>
      <c r="B18" s="193"/>
      <c r="C18" s="194"/>
      <c r="D18" s="190"/>
      <c r="E18" s="190"/>
      <c r="F18" s="189"/>
      <c r="G18" s="189"/>
    </row>
    <row r="19" spans="1:7">
      <c r="A19" s="197" t="s">
        <v>26</v>
      </c>
      <c r="B19" s="193"/>
      <c r="C19" s="194"/>
      <c r="D19" s="190"/>
      <c r="E19" s="190"/>
      <c r="F19" s="189"/>
      <c r="G19" s="189"/>
    </row>
    <row r="20" ht="14.25" customHeight="1" spans="1:7">
      <c r="A20" s="188" t="s">
        <v>1038</v>
      </c>
      <c r="B20" s="189"/>
      <c r="C20" s="190"/>
      <c r="D20" s="190">
        <v>1.8</v>
      </c>
      <c r="E20" s="190">
        <v>2.88</v>
      </c>
      <c r="F20" s="189"/>
      <c r="G20" s="189">
        <f>ROUND(D20*E20,2)</f>
        <v>5.18</v>
      </c>
    </row>
    <row r="21" spans="1:7">
      <c r="A21" s="188" t="s">
        <v>1039</v>
      </c>
      <c r="B21" s="189"/>
      <c r="C21" s="190"/>
      <c r="D21" s="190">
        <v>3</v>
      </c>
      <c r="E21" s="190"/>
      <c r="F21" s="189">
        <v>2</v>
      </c>
      <c r="G21" s="189">
        <v>6</v>
      </c>
    </row>
    <row r="22" spans="1:7">
      <c r="A22" s="188" t="s">
        <v>1040</v>
      </c>
      <c r="B22" s="189"/>
      <c r="C22" s="190"/>
      <c r="D22" s="190">
        <v>3</v>
      </c>
      <c r="E22" s="190"/>
      <c r="F22" s="189">
        <v>2</v>
      </c>
      <c r="G22" s="189">
        <v>6</v>
      </c>
    </row>
    <row r="23" spans="1:7">
      <c r="A23" s="188" t="s">
        <v>1041</v>
      </c>
      <c r="B23" s="189"/>
      <c r="C23" s="190"/>
      <c r="D23" s="190">
        <v>3</v>
      </c>
      <c r="E23" s="190"/>
      <c r="F23" s="189">
        <v>2</v>
      </c>
      <c r="G23" s="189">
        <v>6</v>
      </c>
    </row>
    <row r="24" spans="1:7">
      <c r="A24" s="188" t="s">
        <v>1042</v>
      </c>
      <c r="B24" s="189"/>
      <c r="C24" s="190"/>
      <c r="D24" s="190">
        <v>3</v>
      </c>
      <c r="E24" s="190"/>
      <c r="F24" s="189">
        <v>2</v>
      </c>
      <c r="G24" s="189">
        <v>6</v>
      </c>
    </row>
    <row r="25" spans="1:7">
      <c r="A25" s="188" t="s">
        <v>1043</v>
      </c>
      <c r="B25" s="189"/>
      <c r="C25" s="190"/>
      <c r="D25" s="190">
        <v>3</v>
      </c>
      <c r="E25" s="190"/>
      <c r="F25" s="189">
        <v>2</v>
      </c>
      <c r="G25" s="189">
        <v>6</v>
      </c>
    </row>
    <row r="26" spans="1:7">
      <c r="A26" s="188" t="s">
        <v>1044</v>
      </c>
      <c r="B26" s="189"/>
      <c r="C26" s="190"/>
      <c r="D26" s="190">
        <v>3</v>
      </c>
      <c r="E26" s="190"/>
      <c r="F26" s="189">
        <v>2</v>
      </c>
      <c r="G26" s="189">
        <v>6</v>
      </c>
    </row>
    <row r="27" spans="1:7">
      <c r="A27" s="188" t="s">
        <v>1045</v>
      </c>
      <c r="B27" s="189"/>
      <c r="C27" s="190"/>
      <c r="D27" s="190">
        <v>3</v>
      </c>
      <c r="E27" s="190"/>
      <c r="F27" s="189">
        <v>2</v>
      </c>
      <c r="G27" s="189">
        <v>6</v>
      </c>
    </row>
    <row r="28" spans="1:7">
      <c r="A28" s="188" t="s">
        <v>1046</v>
      </c>
      <c r="B28" s="189"/>
      <c r="C28" s="190">
        <v>1</v>
      </c>
      <c r="D28" s="190"/>
      <c r="E28" s="190"/>
      <c r="F28" s="189"/>
      <c r="G28" s="189">
        <f>C28</f>
        <v>1</v>
      </c>
    </row>
    <row r="29" spans="1:7">
      <c r="A29" s="188" t="s">
        <v>1047</v>
      </c>
      <c r="B29" s="189"/>
      <c r="C29" s="190">
        <v>1</v>
      </c>
      <c r="D29" s="190"/>
      <c r="E29" s="190"/>
      <c r="F29" s="189"/>
      <c r="G29" s="189">
        <f>C29</f>
        <v>1</v>
      </c>
    </row>
    <row r="30" spans="1:7">
      <c r="A30" s="198"/>
      <c r="B30" s="198"/>
      <c r="C30" s="198"/>
      <c r="D30" s="198"/>
      <c r="E30" s="198"/>
      <c r="F30" s="198"/>
      <c r="G30" s="198"/>
    </row>
    <row r="31" spans="1:7">
      <c r="A31" s="181" t="s">
        <v>1048</v>
      </c>
      <c r="B31" s="182"/>
      <c r="C31" s="182"/>
      <c r="D31" s="182"/>
      <c r="E31" s="182"/>
      <c r="F31" s="182"/>
      <c r="G31" s="183"/>
    </row>
    <row r="32" spans="1:7">
      <c r="A32" s="199" t="s">
        <v>1026</v>
      </c>
      <c r="B32" s="200"/>
      <c r="C32" s="194"/>
      <c r="D32" s="194"/>
      <c r="E32" s="194"/>
      <c r="F32" s="193" t="s">
        <v>1049</v>
      </c>
      <c r="G32" s="195" t="s">
        <v>779</v>
      </c>
    </row>
    <row r="33" spans="1:7">
      <c r="A33" s="201" t="s">
        <v>1050</v>
      </c>
      <c r="B33" s="202"/>
      <c r="C33" s="190"/>
      <c r="D33" s="190"/>
      <c r="E33" s="190"/>
      <c r="F33" s="189"/>
      <c r="G33" s="189"/>
    </row>
    <row r="34" spans="1:7">
      <c r="A34" s="188" t="s">
        <v>1051</v>
      </c>
      <c r="B34" s="188"/>
      <c r="C34" s="203"/>
      <c r="D34" s="203"/>
      <c r="E34" s="203"/>
      <c r="F34" s="189">
        <v>7.33</v>
      </c>
      <c r="G34" s="204">
        <f t="shared" ref="G34:G39" si="0">F34</f>
        <v>7.33</v>
      </c>
    </row>
    <row r="35" spans="1:7">
      <c r="A35" s="205" t="s">
        <v>1052</v>
      </c>
      <c r="B35" s="206"/>
      <c r="C35" s="203"/>
      <c r="D35" s="203"/>
      <c r="E35" s="203"/>
      <c r="F35" s="189">
        <v>39.24</v>
      </c>
      <c r="G35" s="204">
        <f t="shared" si="0"/>
        <v>39.24</v>
      </c>
    </row>
    <row r="36" spans="1:7">
      <c r="A36" s="207" t="s">
        <v>1053</v>
      </c>
      <c r="B36" s="208"/>
      <c r="C36" s="203"/>
      <c r="D36" s="203"/>
      <c r="E36" s="203"/>
      <c r="F36" s="189">
        <v>6.15</v>
      </c>
      <c r="G36" s="204">
        <f t="shared" si="0"/>
        <v>6.15</v>
      </c>
    </row>
    <row r="37" spans="1:7">
      <c r="A37" s="207" t="s">
        <v>1054</v>
      </c>
      <c r="B37" s="208"/>
      <c r="C37" s="203"/>
      <c r="D37" s="203"/>
      <c r="E37" s="203"/>
      <c r="F37" s="189">
        <v>32.24</v>
      </c>
      <c r="G37" s="204">
        <f t="shared" si="0"/>
        <v>32.24</v>
      </c>
    </row>
    <row r="38" spans="1:7">
      <c r="A38" s="207" t="s">
        <v>1055</v>
      </c>
      <c r="B38" s="208"/>
      <c r="C38" s="203"/>
      <c r="D38" s="203"/>
      <c r="E38" s="203"/>
      <c r="F38" s="189">
        <v>2.77</v>
      </c>
      <c r="G38" s="204">
        <f t="shared" si="0"/>
        <v>2.77</v>
      </c>
    </row>
    <row r="39" spans="1:7">
      <c r="A39" s="207" t="s">
        <v>1056</v>
      </c>
      <c r="B39" s="208"/>
      <c r="C39" s="203"/>
      <c r="D39" s="203"/>
      <c r="E39" s="203"/>
      <c r="F39" s="189">
        <v>4.7</v>
      </c>
      <c r="G39" s="204">
        <f t="shared" si="0"/>
        <v>4.7</v>
      </c>
    </row>
    <row r="40" spans="1:7">
      <c r="A40" s="209"/>
      <c r="B40" s="210"/>
      <c r="C40" s="210"/>
      <c r="D40" s="211"/>
      <c r="E40" s="212" t="s">
        <v>779</v>
      </c>
      <c r="F40" s="213"/>
      <c r="G40" s="214">
        <f>SUM(G34:G39)</f>
        <v>92.43</v>
      </c>
    </row>
    <row r="41" spans="1:7">
      <c r="A41" s="209"/>
      <c r="B41" s="210"/>
      <c r="C41" s="210"/>
      <c r="D41" s="210"/>
      <c r="E41" s="210"/>
      <c r="F41" s="210"/>
      <c r="G41" s="211"/>
    </row>
    <row r="42" spans="1:7">
      <c r="A42" s="215" t="s">
        <v>1026</v>
      </c>
      <c r="B42" s="216"/>
      <c r="C42" s="217"/>
      <c r="D42" s="218" t="s">
        <v>1057</v>
      </c>
      <c r="E42" s="186" t="s">
        <v>1058</v>
      </c>
      <c r="F42" s="185" t="s">
        <v>1059</v>
      </c>
      <c r="G42" s="187" t="s">
        <v>779</v>
      </c>
    </row>
    <row r="43" spans="1:7">
      <c r="A43" s="219" t="s">
        <v>1060</v>
      </c>
      <c r="B43" s="220"/>
      <c r="C43" s="221"/>
      <c r="D43" s="221"/>
      <c r="E43" s="221"/>
      <c r="F43" s="222"/>
      <c r="G43" s="222"/>
    </row>
    <row r="44" spans="1:7">
      <c r="A44" s="188" t="s">
        <v>1061</v>
      </c>
      <c r="B44" s="188"/>
      <c r="C44" s="203"/>
      <c r="D44" s="190">
        <v>9.57</v>
      </c>
      <c r="E44" s="190">
        <v>3</v>
      </c>
      <c r="F44" s="189">
        <f>0.8*2.1</f>
        <v>1.68</v>
      </c>
      <c r="G44" s="204">
        <f>ROUND(D44*E44,2)-F44</f>
        <v>27.03</v>
      </c>
    </row>
    <row r="45" spans="1:7">
      <c r="A45" s="205" t="s">
        <v>1062</v>
      </c>
      <c r="B45" s="206"/>
      <c r="C45" s="203"/>
      <c r="D45" s="190">
        <v>6.91</v>
      </c>
      <c r="E45" s="190">
        <v>3</v>
      </c>
      <c r="F45" s="189">
        <v>0</v>
      </c>
      <c r="G45" s="204">
        <f t="shared" ref="G45:G55" si="1">ROUND(D45*E45,2)-F45</f>
        <v>20.73</v>
      </c>
    </row>
    <row r="46" spans="1:7">
      <c r="A46" s="207" t="s">
        <v>1063</v>
      </c>
      <c r="B46" s="208"/>
      <c r="C46" s="203"/>
      <c r="D46" s="190">
        <v>2.2</v>
      </c>
      <c r="E46" s="190">
        <v>3</v>
      </c>
      <c r="F46" s="189">
        <v>0</v>
      </c>
      <c r="G46" s="204">
        <f t="shared" si="1"/>
        <v>6.6</v>
      </c>
    </row>
    <row r="47" spans="1:7">
      <c r="A47" s="207" t="s">
        <v>1064</v>
      </c>
      <c r="B47" s="208"/>
      <c r="C47" s="203"/>
      <c r="D47" s="190">
        <v>3.2</v>
      </c>
      <c r="E47" s="190">
        <v>3</v>
      </c>
      <c r="F47" s="189">
        <f>0.8*2.1</f>
        <v>1.68</v>
      </c>
      <c r="G47" s="204">
        <f t="shared" si="1"/>
        <v>7.92</v>
      </c>
    </row>
    <row r="48" spans="1:7">
      <c r="A48" s="207" t="s">
        <v>1065</v>
      </c>
      <c r="B48" s="208"/>
      <c r="C48" s="203"/>
      <c r="D48" s="190">
        <v>7.37</v>
      </c>
      <c r="E48" s="190">
        <v>3</v>
      </c>
      <c r="F48" s="189">
        <v>0</v>
      </c>
      <c r="G48" s="204">
        <f t="shared" si="1"/>
        <v>22.11</v>
      </c>
    </row>
    <row r="49" spans="1:7">
      <c r="A49" s="207" t="s">
        <v>1066</v>
      </c>
      <c r="B49" s="208"/>
      <c r="C49" s="203"/>
      <c r="D49" s="190">
        <v>10.26</v>
      </c>
      <c r="E49" s="190">
        <v>3</v>
      </c>
      <c r="F49" s="189">
        <v>0</v>
      </c>
      <c r="G49" s="204">
        <f t="shared" si="1"/>
        <v>30.78</v>
      </c>
    </row>
    <row r="50" spans="1:7">
      <c r="A50" s="207" t="s">
        <v>1067</v>
      </c>
      <c r="B50" s="208"/>
      <c r="C50" s="203"/>
      <c r="D50" s="190">
        <v>7.03</v>
      </c>
      <c r="E50" s="190">
        <v>3</v>
      </c>
      <c r="F50" s="189">
        <f>0.8*2.1</f>
        <v>1.68</v>
      </c>
      <c r="G50" s="204">
        <f t="shared" si="1"/>
        <v>19.41</v>
      </c>
    </row>
    <row r="51" spans="1:7">
      <c r="A51" s="207" t="s">
        <v>1068</v>
      </c>
      <c r="B51" s="223"/>
      <c r="C51" s="203"/>
      <c r="D51" s="224">
        <v>10.26</v>
      </c>
      <c r="E51" s="190">
        <v>3</v>
      </c>
      <c r="F51" s="225">
        <f>0.8*2.1*2+0.8*2.1*2</f>
        <v>6.72</v>
      </c>
      <c r="G51" s="204">
        <f t="shared" si="1"/>
        <v>24.06</v>
      </c>
    </row>
    <row r="52" spans="1:7">
      <c r="A52" s="207" t="s">
        <v>1069</v>
      </c>
      <c r="B52" s="223"/>
      <c r="C52" s="203"/>
      <c r="D52" s="224">
        <v>2.05</v>
      </c>
      <c r="E52" s="190">
        <v>3</v>
      </c>
      <c r="F52" s="225">
        <f>0.7*2.1</f>
        <v>1.47</v>
      </c>
      <c r="G52" s="204">
        <f t="shared" si="1"/>
        <v>4.68</v>
      </c>
    </row>
    <row r="53" spans="1:7">
      <c r="A53" s="207" t="s">
        <v>1070</v>
      </c>
      <c r="B53" s="223"/>
      <c r="C53" s="203"/>
      <c r="D53" s="224">
        <v>0.95</v>
      </c>
      <c r="E53" s="190">
        <v>3</v>
      </c>
      <c r="F53" s="225">
        <v>0</v>
      </c>
      <c r="G53" s="204">
        <f t="shared" si="1"/>
        <v>2.85</v>
      </c>
    </row>
    <row r="54" spans="1:7">
      <c r="A54" s="207" t="s">
        <v>1071</v>
      </c>
      <c r="B54" s="223"/>
      <c r="C54" s="203"/>
      <c r="D54" s="224">
        <v>1.1</v>
      </c>
      <c r="E54" s="190">
        <v>3</v>
      </c>
      <c r="F54" s="225">
        <v>0</v>
      </c>
      <c r="G54" s="204">
        <f t="shared" si="1"/>
        <v>3.3</v>
      </c>
    </row>
    <row r="55" spans="1:7">
      <c r="A55" s="207" t="s">
        <v>1072</v>
      </c>
      <c r="B55" s="223"/>
      <c r="C55" s="203"/>
      <c r="D55" s="224">
        <v>2.05</v>
      </c>
      <c r="E55" s="190">
        <v>3</v>
      </c>
      <c r="F55" s="225">
        <v>0</v>
      </c>
      <c r="G55" s="204">
        <f t="shared" si="1"/>
        <v>6.15</v>
      </c>
    </row>
    <row r="56" spans="1:7">
      <c r="A56" s="226"/>
      <c r="B56" s="227"/>
      <c r="C56" s="228"/>
      <c r="D56" s="229"/>
      <c r="E56" s="230"/>
      <c r="F56" s="231"/>
      <c r="G56" s="232"/>
    </row>
    <row r="57" spans="1:7">
      <c r="A57" s="209"/>
      <c r="B57" s="210"/>
      <c r="C57" s="210"/>
      <c r="D57" s="211"/>
      <c r="E57" s="212" t="s">
        <v>1073</v>
      </c>
      <c r="F57" s="213"/>
      <c r="G57" s="214">
        <f>SUM(G44:G55)</f>
        <v>175.62</v>
      </c>
    </row>
    <row r="58" spans="1:7">
      <c r="A58" s="209"/>
      <c r="B58" s="210"/>
      <c r="C58" s="228"/>
      <c r="D58" s="228"/>
      <c r="E58" s="212" t="s">
        <v>1074</v>
      </c>
      <c r="F58" s="213"/>
      <c r="G58" s="214">
        <f>ROUND(G57*0.15,2)</f>
        <v>26.34</v>
      </c>
    </row>
    <row r="59" spans="1:7">
      <c r="A59" s="209"/>
      <c r="B59" s="210"/>
      <c r="C59" s="228"/>
      <c r="D59" s="228"/>
      <c r="E59" s="228"/>
      <c r="F59" s="210"/>
      <c r="G59" s="211"/>
    </row>
    <row r="60" spans="1:7">
      <c r="A60" s="209"/>
      <c r="B60" s="210"/>
      <c r="C60" s="210"/>
      <c r="D60" s="210"/>
      <c r="E60" s="210"/>
      <c r="F60" s="210"/>
      <c r="G60" s="211"/>
    </row>
    <row r="61" spans="1:7">
      <c r="A61" s="201" t="s">
        <v>1075</v>
      </c>
      <c r="B61" s="202"/>
      <c r="C61" s="190"/>
      <c r="D61" s="233"/>
      <c r="E61" s="233"/>
      <c r="F61" s="234" t="s">
        <v>1076</v>
      </c>
      <c r="G61" s="234" t="s">
        <v>1077</v>
      </c>
    </row>
    <row r="62" spans="1:7">
      <c r="A62" s="188" t="s">
        <v>1056</v>
      </c>
      <c r="B62" s="189"/>
      <c r="C62" s="190"/>
      <c r="D62" s="190"/>
      <c r="E62" s="190"/>
      <c r="F62" s="189">
        <v>1</v>
      </c>
      <c r="G62" s="189">
        <v>1</v>
      </c>
    </row>
    <row r="63" spans="3:7">
      <c r="C63" s="235" t="s">
        <v>779</v>
      </c>
      <c r="D63" s="236"/>
      <c r="E63" s="237"/>
      <c r="F63" s="214">
        <f>SUM(F62:F62)</f>
        <v>1</v>
      </c>
      <c r="G63" s="214">
        <f>SUM(G62:G62)</f>
        <v>1</v>
      </c>
    </row>
    <row r="64" spans="1:7">
      <c r="A64" s="209"/>
      <c r="B64" s="210"/>
      <c r="C64" s="210"/>
      <c r="D64" s="210"/>
      <c r="E64" s="210"/>
      <c r="F64" s="210"/>
      <c r="G64" s="211"/>
    </row>
    <row r="65" spans="1:7">
      <c r="A65" s="181" t="s">
        <v>1078</v>
      </c>
      <c r="B65" s="182"/>
      <c r="C65" s="182"/>
      <c r="D65" s="182"/>
      <c r="E65" s="182"/>
      <c r="F65" s="182"/>
      <c r="G65" s="183"/>
    </row>
    <row r="66" spans="1:7">
      <c r="A66" s="238" t="s">
        <v>1079</v>
      </c>
      <c r="B66" s="239"/>
      <c r="C66" s="240"/>
      <c r="D66" s="241" t="s">
        <v>1080</v>
      </c>
      <c r="E66" s="241" t="s">
        <v>1081</v>
      </c>
      <c r="F66" s="241" t="s">
        <v>1082</v>
      </c>
      <c r="G66" s="241" t="s">
        <v>1083</v>
      </c>
    </row>
    <row r="67" spans="1:7">
      <c r="A67" s="239" t="s">
        <v>73</v>
      </c>
      <c r="B67" s="239"/>
      <c r="C67" s="240"/>
      <c r="D67" s="242">
        <v>85</v>
      </c>
      <c r="E67" s="242">
        <v>0.15</v>
      </c>
      <c r="F67" s="243">
        <v>1.7</v>
      </c>
      <c r="G67" s="243">
        <f>ROUND(D67*E67*F67,2)</f>
        <v>21.68</v>
      </c>
    </row>
    <row r="68" spans="1:7">
      <c r="A68" s="239"/>
      <c r="B68" s="239"/>
      <c r="C68" s="240"/>
      <c r="D68" s="241" t="s">
        <v>1084</v>
      </c>
      <c r="E68" s="241" t="s">
        <v>1085</v>
      </c>
      <c r="F68" s="241" t="s">
        <v>1082</v>
      </c>
      <c r="G68" s="241" t="s">
        <v>1083</v>
      </c>
    </row>
    <row r="69" spans="1:7">
      <c r="A69" s="239" t="s">
        <v>1086</v>
      </c>
      <c r="B69" s="239"/>
      <c r="C69" s="240"/>
      <c r="D69" s="242">
        <v>5</v>
      </c>
      <c r="E69" s="242">
        <v>0.04</v>
      </c>
      <c r="F69" s="243">
        <v>1.7</v>
      </c>
      <c r="G69" s="243">
        <f>ROUND(D69*E69*F69,2)</f>
        <v>0.34</v>
      </c>
    </row>
    <row r="70" spans="1:7">
      <c r="A70" s="239"/>
      <c r="B70" s="239"/>
      <c r="C70" s="240"/>
      <c r="D70" s="241" t="s">
        <v>1080</v>
      </c>
      <c r="E70" s="241"/>
      <c r="F70" s="241" t="s">
        <v>1082</v>
      </c>
      <c r="G70" s="241" t="s">
        <v>1087</v>
      </c>
    </row>
    <row r="71" spans="1:7">
      <c r="A71" s="239" t="s">
        <v>1088</v>
      </c>
      <c r="B71" s="239"/>
      <c r="C71" s="240"/>
      <c r="D71" s="242">
        <v>14</v>
      </c>
      <c r="E71" s="242"/>
      <c r="F71" s="243">
        <v>1.7</v>
      </c>
      <c r="G71" s="243">
        <f>ROUND(D71*F71,2)</f>
        <v>23.8</v>
      </c>
    </row>
    <row r="72" spans="1:7">
      <c r="A72" s="239"/>
      <c r="B72" s="239"/>
      <c r="C72" s="240"/>
      <c r="D72" s="240"/>
      <c r="E72" s="240"/>
      <c r="F72" s="239"/>
      <c r="G72" s="244"/>
    </row>
    <row r="73" spans="1:7">
      <c r="A73" s="238" t="s">
        <v>1089</v>
      </c>
      <c r="B73" s="239"/>
      <c r="C73" s="240"/>
      <c r="D73" s="241" t="s">
        <v>1080</v>
      </c>
      <c r="E73" s="241" t="s">
        <v>1081</v>
      </c>
      <c r="F73" s="241" t="s">
        <v>1082</v>
      </c>
      <c r="G73" s="241" t="s">
        <v>1083</v>
      </c>
    </row>
    <row r="74" spans="1:7">
      <c r="A74" s="239" t="s">
        <v>1090</v>
      </c>
      <c r="B74" s="239"/>
      <c r="C74" s="240"/>
      <c r="D74" s="242">
        <v>87.2</v>
      </c>
      <c r="E74" s="242">
        <v>0.4</v>
      </c>
      <c r="F74" s="243">
        <v>0.5</v>
      </c>
      <c r="G74" s="243">
        <f>ROUND(D74*E74*F74,2)</f>
        <v>17.44</v>
      </c>
    </row>
    <row r="75" spans="1:7">
      <c r="A75" s="239" t="s">
        <v>1091</v>
      </c>
      <c r="B75" s="239"/>
      <c r="C75" s="240"/>
      <c r="D75" s="242" t="s">
        <v>1092</v>
      </c>
      <c r="E75" s="242"/>
      <c r="F75" s="245"/>
      <c r="G75" s="243">
        <f>G74-G79-G80</f>
        <v>5.67</v>
      </c>
    </row>
    <row r="76" spans="1:7">
      <c r="A76" s="239"/>
      <c r="B76" s="239"/>
      <c r="C76" s="240"/>
      <c r="D76" s="242"/>
      <c r="E76" s="242"/>
      <c r="F76" s="245"/>
      <c r="G76" s="243"/>
    </row>
    <row r="77" spans="1:7">
      <c r="A77" s="238" t="s">
        <v>1093</v>
      </c>
      <c r="B77" s="239"/>
      <c r="C77" s="240"/>
      <c r="D77" s="246"/>
      <c r="E77" s="246"/>
      <c r="F77" s="247"/>
      <c r="G77" s="248"/>
    </row>
    <row r="78" spans="1:7">
      <c r="A78" s="238" t="s">
        <v>1094</v>
      </c>
      <c r="B78" s="239"/>
      <c r="C78" s="240"/>
      <c r="D78" s="246"/>
      <c r="E78" s="246"/>
      <c r="F78" s="247"/>
      <c r="G78" s="249" t="s">
        <v>1083</v>
      </c>
    </row>
    <row r="79" spans="1:7">
      <c r="A79" s="239" t="s">
        <v>1095</v>
      </c>
      <c r="B79" s="239"/>
      <c r="C79" s="240"/>
      <c r="D79" s="242">
        <v>87.2</v>
      </c>
      <c r="E79" s="242">
        <v>0.3</v>
      </c>
      <c r="F79" s="243">
        <v>0.4</v>
      </c>
      <c r="G79" s="243">
        <f>ROUND(D79*E79*F79,2)</f>
        <v>10.46</v>
      </c>
    </row>
    <row r="80" spans="1:7">
      <c r="A80" s="239" t="s">
        <v>1096</v>
      </c>
      <c r="B80" s="239"/>
      <c r="C80" s="240"/>
      <c r="D80" s="242">
        <v>87.2</v>
      </c>
      <c r="E80" s="242">
        <v>0.15</v>
      </c>
      <c r="F80" s="243">
        <v>0.1</v>
      </c>
      <c r="G80" s="243">
        <f>ROUND(D80*E80*F80,2)</f>
        <v>1.31</v>
      </c>
    </row>
    <row r="81" spans="1:7">
      <c r="A81" s="239" t="s">
        <v>1097</v>
      </c>
      <c r="B81" s="239"/>
      <c r="C81" s="240"/>
      <c r="D81" s="250" t="s">
        <v>1098</v>
      </c>
      <c r="E81" s="251"/>
      <c r="F81" s="252"/>
      <c r="G81" s="243">
        <f>ROUND(4.5-G80,2)</f>
        <v>3.19</v>
      </c>
    </row>
    <row r="82" spans="1:7">
      <c r="A82" s="238" t="s">
        <v>1099</v>
      </c>
      <c r="B82" s="253"/>
      <c r="C82" s="240"/>
      <c r="D82" s="254"/>
      <c r="E82" s="246"/>
      <c r="F82" s="249"/>
      <c r="G82" s="249" t="s">
        <v>1100</v>
      </c>
    </row>
    <row r="83" spans="1:7">
      <c r="A83" s="253" t="s">
        <v>1101</v>
      </c>
      <c r="B83" s="255"/>
      <c r="C83" s="240"/>
      <c r="D83" s="242" t="s">
        <v>1102</v>
      </c>
      <c r="E83" s="242"/>
      <c r="F83" s="243" t="s">
        <v>1103</v>
      </c>
      <c r="G83" s="243">
        <v>38.8</v>
      </c>
    </row>
    <row r="84" spans="1:7">
      <c r="A84" s="256"/>
      <c r="B84" s="255"/>
      <c r="C84" s="240"/>
      <c r="D84" s="242" t="s">
        <v>1102</v>
      </c>
      <c r="E84" s="242"/>
      <c r="F84" s="243" t="s">
        <v>1104</v>
      </c>
      <c r="G84" s="243">
        <v>138.25</v>
      </c>
    </row>
    <row r="85" spans="1:7">
      <c r="A85" s="238" t="s">
        <v>1105</v>
      </c>
      <c r="B85" s="255"/>
      <c r="C85" s="240"/>
      <c r="D85" s="242"/>
      <c r="E85" s="242"/>
      <c r="F85" s="243"/>
      <c r="G85" s="249" t="s">
        <v>1087</v>
      </c>
    </row>
    <row r="86" spans="1:7">
      <c r="A86" s="239" t="s">
        <v>1106</v>
      </c>
      <c r="B86" s="239"/>
      <c r="C86" s="240"/>
      <c r="D86" s="257" t="s">
        <v>1102</v>
      </c>
      <c r="E86" s="258"/>
      <c r="F86" s="245"/>
      <c r="G86" s="243">
        <v>90</v>
      </c>
    </row>
    <row r="87" spans="1:7">
      <c r="A87" s="239"/>
      <c r="B87" s="239"/>
      <c r="C87" s="240"/>
      <c r="D87" s="257"/>
      <c r="E87" s="258"/>
      <c r="F87" s="245"/>
      <c r="G87" s="243"/>
    </row>
    <row r="88" spans="1:7">
      <c r="A88" s="238" t="s">
        <v>1107</v>
      </c>
      <c r="B88" s="239"/>
      <c r="C88" s="240"/>
      <c r="D88" s="242"/>
      <c r="E88" s="242"/>
      <c r="F88" s="245"/>
      <c r="G88" s="248"/>
    </row>
    <row r="89" spans="1:7">
      <c r="A89" s="238" t="s">
        <v>1108</v>
      </c>
      <c r="B89" s="253"/>
      <c r="C89" s="240"/>
      <c r="D89" s="254"/>
      <c r="E89" s="246"/>
      <c r="F89" s="249"/>
      <c r="G89" s="249" t="s">
        <v>1083</v>
      </c>
    </row>
    <row r="90" spans="1:7">
      <c r="A90" s="239" t="s">
        <v>1086</v>
      </c>
      <c r="B90" s="239"/>
      <c r="C90" s="240"/>
      <c r="D90" s="259" t="s">
        <v>1102</v>
      </c>
      <c r="E90" s="260"/>
      <c r="F90" s="245"/>
      <c r="G90" s="243">
        <v>1.98</v>
      </c>
    </row>
    <row r="91" spans="1:7">
      <c r="A91" s="238" t="s">
        <v>1109</v>
      </c>
      <c r="B91" s="253"/>
      <c r="C91" s="240"/>
      <c r="D91" s="254"/>
      <c r="E91" s="246"/>
      <c r="F91" s="249"/>
      <c r="G91" s="249" t="s">
        <v>1100</v>
      </c>
    </row>
    <row r="92" spans="1:7">
      <c r="A92" s="253" t="s">
        <v>1101</v>
      </c>
      <c r="B92" s="255"/>
      <c r="C92" s="240"/>
      <c r="D92" s="259" t="s">
        <v>1102</v>
      </c>
      <c r="E92" s="260"/>
      <c r="F92" s="243" t="s">
        <v>1103</v>
      </c>
      <c r="G92" s="243">
        <v>56.59</v>
      </c>
    </row>
    <row r="93" spans="1:7">
      <c r="A93" s="256"/>
      <c r="B93" s="255"/>
      <c r="C93" s="240"/>
      <c r="D93" s="259" t="s">
        <v>1102</v>
      </c>
      <c r="E93" s="260"/>
      <c r="F93" s="243" t="s">
        <v>1110</v>
      </c>
      <c r="G93" s="243">
        <v>224.59</v>
      </c>
    </row>
    <row r="94" spans="1:7">
      <c r="A94" s="238" t="s">
        <v>1105</v>
      </c>
      <c r="B94" s="255"/>
      <c r="C94" s="240"/>
      <c r="D94" s="242"/>
      <c r="E94" s="242"/>
      <c r="F94" s="243"/>
      <c r="G94" s="249" t="s">
        <v>1087</v>
      </c>
    </row>
    <row r="95" spans="1:7">
      <c r="A95" s="239" t="s">
        <v>1106</v>
      </c>
      <c r="B95" s="239"/>
      <c r="C95" s="240"/>
      <c r="D95" s="257" t="s">
        <v>1102</v>
      </c>
      <c r="E95" s="258"/>
      <c r="F95" s="245"/>
      <c r="G95" s="243">
        <v>52.8</v>
      </c>
    </row>
    <row r="96" spans="1:7">
      <c r="A96" s="239"/>
      <c r="B96" s="261"/>
      <c r="C96" s="240"/>
      <c r="D96" s="242"/>
      <c r="E96" s="242"/>
      <c r="F96" s="243"/>
      <c r="G96" s="243"/>
    </row>
    <row r="97" spans="1:7">
      <c r="A97" s="238" t="s">
        <v>1111</v>
      </c>
      <c r="B97" s="239"/>
      <c r="C97" s="240"/>
      <c r="D97" s="249" t="s">
        <v>1080</v>
      </c>
      <c r="E97" s="249" t="s">
        <v>1082</v>
      </c>
      <c r="F97" s="243"/>
      <c r="G97" s="249" t="s">
        <v>1112</v>
      </c>
    </row>
    <row r="98" spans="1:7">
      <c r="A98" s="239" t="s">
        <v>73</v>
      </c>
      <c r="B98" s="239"/>
      <c r="C98" s="240"/>
      <c r="D98" s="242">
        <v>87.2</v>
      </c>
      <c r="E98" s="242">
        <v>2.2</v>
      </c>
      <c r="F98" s="245"/>
      <c r="G98" s="243">
        <f>D98*E98</f>
        <v>191.84</v>
      </c>
    </row>
    <row r="99" spans="1:7">
      <c r="A99" s="239" t="s">
        <v>1113</v>
      </c>
      <c r="B99" s="239"/>
      <c r="C99" s="240"/>
      <c r="D99" s="242"/>
      <c r="E99" s="242"/>
      <c r="F99" s="245"/>
      <c r="G99" s="243"/>
    </row>
    <row r="100" spans="1:7">
      <c r="A100" s="239" t="s">
        <v>504</v>
      </c>
      <c r="B100" s="239"/>
      <c r="C100" s="240"/>
      <c r="D100" s="242" t="s">
        <v>1114</v>
      </c>
      <c r="E100" s="242"/>
      <c r="F100" s="243">
        <v>2</v>
      </c>
      <c r="G100" s="243">
        <f>G98*F100</f>
        <v>383.68</v>
      </c>
    </row>
    <row r="101" spans="1:7">
      <c r="A101" s="239" t="s">
        <v>1115</v>
      </c>
      <c r="B101" s="239"/>
      <c r="C101" s="240"/>
      <c r="D101" s="242" t="s">
        <v>1116</v>
      </c>
      <c r="E101" s="242"/>
      <c r="F101" s="245"/>
      <c r="G101" s="243">
        <f>G100</f>
        <v>383.68</v>
      </c>
    </row>
    <row r="102" spans="1:7">
      <c r="A102" s="239" t="s">
        <v>1117</v>
      </c>
      <c r="B102" s="239"/>
      <c r="C102" s="240"/>
      <c r="D102" s="242"/>
      <c r="E102" s="242" t="s">
        <v>1118</v>
      </c>
      <c r="F102" s="245"/>
      <c r="G102" s="243">
        <v>87.2</v>
      </c>
    </row>
    <row r="103" spans="1:7">
      <c r="A103" s="262"/>
      <c r="B103" s="262"/>
      <c r="C103" s="263"/>
      <c r="D103" s="264"/>
      <c r="E103" s="264"/>
      <c r="F103" s="265"/>
      <c r="G103" s="266"/>
    </row>
    <row r="104" spans="1:7">
      <c r="A104" s="238" t="s">
        <v>1119</v>
      </c>
      <c r="B104" s="239"/>
      <c r="C104" s="240"/>
      <c r="D104" s="249" t="s">
        <v>1080</v>
      </c>
      <c r="E104" s="249" t="s">
        <v>1082</v>
      </c>
      <c r="F104" s="243"/>
      <c r="G104" s="249" t="s">
        <v>1112</v>
      </c>
    </row>
    <row r="105" spans="1:7">
      <c r="A105" s="239" t="s">
        <v>1120</v>
      </c>
      <c r="B105" s="239"/>
      <c r="C105" s="240"/>
      <c r="D105" s="242">
        <f>D98</f>
        <v>87.2</v>
      </c>
      <c r="E105" s="242">
        <f>E98</f>
        <v>2.2</v>
      </c>
      <c r="F105" s="245"/>
      <c r="G105" s="243">
        <f>ROUND(D105*E105,2)</f>
        <v>191.84</v>
      </c>
    </row>
    <row r="106" spans="1:7">
      <c r="A106" s="239" t="s">
        <v>1121</v>
      </c>
      <c r="B106" s="239"/>
      <c r="C106" s="240"/>
      <c r="D106" s="242">
        <f>D105</f>
        <v>87.2</v>
      </c>
      <c r="E106" s="242">
        <f>E105</f>
        <v>2.2</v>
      </c>
      <c r="F106" s="245"/>
      <c r="G106" s="243">
        <f>ROUND(D106*E106,2)</f>
        <v>191.84</v>
      </c>
    </row>
    <row r="107" spans="1:7">
      <c r="A107" s="262"/>
      <c r="B107" s="262"/>
      <c r="C107" s="263"/>
      <c r="D107" s="263"/>
      <c r="E107" s="263"/>
      <c r="F107" s="262"/>
      <c r="G107" s="262"/>
    </row>
    <row r="108" spans="1:7">
      <c r="A108" s="181" t="s">
        <v>1122</v>
      </c>
      <c r="B108" s="182"/>
      <c r="C108" s="182"/>
      <c r="D108" s="182"/>
      <c r="E108" s="182"/>
      <c r="F108" s="182"/>
      <c r="G108" s="183"/>
    </row>
    <row r="109" spans="1:7">
      <c r="A109" s="245" t="s">
        <v>1123</v>
      </c>
      <c r="B109" s="243" t="s">
        <v>1124</v>
      </c>
      <c r="C109" s="243" t="s">
        <v>1080</v>
      </c>
      <c r="D109" s="243" t="s">
        <v>1081</v>
      </c>
      <c r="E109" s="243" t="s">
        <v>1087</v>
      </c>
      <c r="F109" s="243" t="s">
        <v>1082</v>
      </c>
      <c r="G109" s="243" t="s">
        <v>1083</v>
      </c>
    </row>
    <row r="110" spans="1:7">
      <c r="A110" s="245" t="s">
        <v>1125</v>
      </c>
      <c r="B110" s="243">
        <v>4</v>
      </c>
      <c r="C110" s="242">
        <v>1.25</v>
      </c>
      <c r="D110" s="242">
        <v>1.05</v>
      </c>
      <c r="E110" s="242">
        <f>C110*D110*B110</f>
        <v>5.25</v>
      </c>
      <c r="F110" s="243">
        <v>1.5</v>
      </c>
      <c r="G110" s="243">
        <f>F110*D110*C110*B110</f>
        <v>7.875</v>
      </c>
    </row>
    <row r="111" spans="1:7">
      <c r="A111" s="245" t="s">
        <v>1126</v>
      </c>
      <c r="B111" s="243">
        <v>4</v>
      </c>
      <c r="C111" s="242">
        <v>1.4</v>
      </c>
      <c r="D111" s="242">
        <v>1.2</v>
      </c>
      <c r="E111" s="242">
        <f t="shared" ref="E111:E123" si="2">C111*D111*B111</f>
        <v>6.72</v>
      </c>
      <c r="F111" s="243">
        <v>1.5</v>
      </c>
      <c r="G111" s="243">
        <f t="shared" ref="G111:G123" si="3">C111*D111*F111*B111</f>
        <v>10.08</v>
      </c>
    </row>
    <row r="112" spans="1:7">
      <c r="A112" s="245" t="s">
        <v>1127</v>
      </c>
      <c r="B112" s="243">
        <v>12</v>
      </c>
      <c r="C112" s="242">
        <v>1.2</v>
      </c>
      <c r="D112" s="242">
        <v>1</v>
      </c>
      <c r="E112" s="242">
        <f t="shared" si="2"/>
        <v>14.4</v>
      </c>
      <c r="F112" s="243">
        <v>1.5</v>
      </c>
      <c r="G112" s="243">
        <f t="shared" si="3"/>
        <v>21.6</v>
      </c>
    </row>
    <row r="113" spans="1:7">
      <c r="A113" s="245" t="s">
        <v>1066</v>
      </c>
      <c r="B113" s="243">
        <v>1</v>
      </c>
      <c r="C113" s="242">
        <v>0.9</v>
      </c>
      <c r="D113" s="242">
        <v>0.9</v>
      </c>
      <c r="E113" s="242">
        <f t="shared" si="2"/>
        <v>0.81</v>
      </c>
      <c r="F113" s="243">
        <v>1.5</v>
      </c>
      <c r="G113" s="243">
        <f t="shared" si="3"/>
        <v>1.215</v>
      </c>
    </row>
    <row r="114" spans="1:7">
      <c r="A114" s="245" t="s">
        <v>1128</v>
      </c>
      <c r="B114" s="243">
        <v>4</v>
      </c>
      <c r="C114" s="242">
        <v>1.5</v>
      </c>
      <c r="D114" s="242">
        <v>1.3</v>
      </c>
      <c r="E114" s="242">
        <f t="shared" si="2"/>
        <v>7.8</v>
      </c>
      <c r="F114" s="243">
        <v>1.5</v>
      </c>
      <c r="G114" s="243">
        <f t="shared" si="3"/>
        <v>11.7</v>
      </c>
    </row>
    <row r="115" spans="1:7">
      <c r="A115" s="245" t="s">
        <v>1129</v>
      </c>
      <c r="B115" s="243">
        <v>2</v>
      </c>
      <c r="C115" s="242">
        <v>0.95</v>
      </c>
      <c r="D115" s="242">
        <v>0.8</v>
      </c>
      <c r="E115" s="242">
        <f t="shared" si="2"/>
        <v>1.52</v>
      </c>
      <c r="F115" s="243">
        <v>1.5</v>
      </c>
      <c r="G115" s="243">
        <f t="shared" si="3"/>
        <v>2.28</v>
      </c>
    </row>
    <row r="116" spans="1:7">
      <c r="A116" s="245" t="s">
        <v>1130</v>
      </c>
      <c r="B116" s="243">
        <v>9</v>
      </c>
      <c r="C116" s="242">
        <v>1.1</v>
      </c>
      <c r="D116" s="242">
        <v>0.9</v>
      </c>
      <c r="E116" s="242">
        <f t="shared" si="2"/>
        <v>8.91</v>
      </c>
      <c r="F116" s="243">
        <v>1.5</v>
      </c>
      <c r="G116" s="243">
        <f t="shared" si="3"/>
        <v>13.365</v>
      </c>
    </row>
    <row r="117" spans="1:7">
      <c r="A117" s="245" t="s">
        <v>1131</v>
      </c>
      <c r="B117" s="243">
        <v>4</v>
      </c>
      <c r="C117" s="242">
        <v>1.35</v>
      </c>
      <c r="D117" s="242">
        <v>1.15</v>
      </c>
      <c r="E117" s="242">
        <f t="shared" si="2"/>
        <v>6.21</v>
      </c>
      <c r="F117" s="243">
        <v>1.5</v>
      </c>
      <c r="G117" s="243">
        <f t="shared" si="3"/>
        <v>9.315</v>
      </c>
    </row>
    <row r="118" spans="1:7">
      <c r="A118" s="245" t="s">
        <v>1132</v>
      </c>
      <c r="B118" s="243">
        <v>2</v>
      </c>
      <c r="C118" s="242">
        <v>1.7</v>
      </c>
      <c r="D118" s="242">
        <v>1.5</v>
      </c>
      <c r="E118" s="242">
        <f t="shared" si="2"/>
        <v>5.1</v>
      </c>
      <c r="F118" s="243">
        <v>1.5</v>
      </c>
      <c r="G118" s="243">
        <f t="shared" si="3"/>
        <v>7.65</v>
      </c>
    </row>
    <row r="119" spans="1:7">
      <c r="A119" s="245" t="s">
        <v>1133</v>
      </c>
      <c r="B119" s="243">
        <v>1</v>
      </c>
      <c r="C119" s="242">
        <v>1.55</v>
      </c>
      <c r="D119" s="242">
        <v>1.4</v>
      </c>
      <c r="E119" s="242">
        <f t="shared" si="2"/>
        <v>2.17</v>
      </c>
      <c r="F119" s="243">
        <v>1.5</v>
      </c>
      <c r="G119" s="243">
        <f t="shared" si="3"/>
        <v>3.255</v>
      </c>
    </row>
    <row r="120" spans="1:7">
      <c r="A120" s="245" t="s">
        <v>1134</v>
      </c>
      <c r="B120" s="243">
        <v>1</v>
      </c>
      <c r="C120" s="242">
        <v>1.3</v>
      </c>
      <c r="D120" s="242">
        <v>1.4</v>
      </c>
      <c r="E120" s="242">
        <f t="shared" si="2"/>
        <v>1.82</v>
      </c>
      <c r="F120" s="243">
        <v>1.5</v>
      </c>
      <c r="G120" s="243">
        <f t="shared" si="3"/>
        <v>2.73</v>
      </c>
    </row>
    <row r="121" spans="1:7">
      <c r="A121" s="245" t="s">
        <v>1135</v>
      </c>
      <c r="B121" s="243">
        <v>1</v>
      </c>
      <c r="C121" s="242">
        <v>1.4</v>
      </c>
      <c r="D121" s="242">
        <v>1.5</v>
      </c>
      <c r="E121" s="242">
        <f t="shared" si="2"/>
        <v>2.1</v>
      </c>
      <c r="F121" s="243">
        <v>1.5</v>
      </c>
      <c r="G121" s="243">
        <f t="shared" si="3"/>
        <v>3.15</v>
      </c>
    </row>
    <row r="122" spans="1:7">
      <c r="A122" s="245" t="s">
        <v>1136</v>
      </c>
      <c r="B122" s="243">
        <v>1</v>
      </c>
      <c r="C122" s="242">
        <v>0.9</v>
      </c>
      <c r="D122" s="242">
        <v>0.7</v>
      </c>
      <c r="E122" s="242">
        <f t="shared" si="2"/>
        <v>0.63</v>
      </c>
      <c r="F122" s="243">
        <v>1.5</v>
      </c>
      <c r="G122" s="243">
        <f t="shared" si="3"/>
        <v>0.945</v>
      </c>
    </row>
    <row r="123" spans="1:7">
      <c r="A123" s="245" t="s">
        <v>1137</v>
      </c>
      <c r="B123" s="243">
        <v>2</v>
      </c>
      <c r="C123" s="242">
        <v>1.25</v>
      </c>
      <c r="D123" s="242">
        <v>1.1</v>
      </c>
      <c r="E123" s="242">
        <f t="shared" si="2"/>
        <v>2.75</v>
      </c>
      <c r="F123" s="243">
        <v>1.5</v>
      </c>
      <c r="G123" s="243">
        <f t="shared" si="3"/>
        <v>4.125</v>
      </c>
    </row>
    <row r="124" s="167" customFormat="1" spans="1:7">
      <c r="A124" s="245"/>
      <c r="B124" s="245"/>
      <c r="C124" s="242"/>
      <c r="D124" s="242"/>
      <c r="E124" s="242"/>
      <c r="F124" s="243"/>
      <c r="G124" s="243"/>
    </row>
    <row r="125" s="167" customFormat="1" spans="1:7">
      <c r="A125" s="245"/>
      <c r="B125" s="245"/>
      <c r="C125" s="242"/>
      <c r="D125" s="242"/>
      <c r="E125" s="242">
        <v>66.19</v>
      </c>
      <c r="F125" s="243"/>
      <c r="G125" s="243">
        <f>ROUND(SUM(G110:G124),2)</f>
        <v>99.29</v>
      </c>
    </row>
    <row r="126" s="167" customFormat="1" spans="1:7">
      <c r="A126" s="245"/>
      <c r="B126" s="245"/>
      <c r="C126" s="242"/>
      <c r="D126" s="242"/>
      <c r="E126" s="242"/>
      <c r="F126" s="243"/>
      <c r="G126" s="243"/>
    </row>
    <row r="127" spans="1:7">
      <c r="A127" s="245" t="s">
        <v>1138</v>
      </c>
      <c r="B127" s="245"/>
      <c r="C127" s="242"/>
      <c r="D127" s="242" t="s">
        <v>1139</v>
      </c>
      <c r="E127" s="242"/>
      <c r="F127" s="245"/>
      <c r="G127" s="243">
        <f>G125-B132</f>
        <v>78.65</v>
      </c>
    </row>
    <row r="128" spans="1:7">
      <c r="A128" s="262"/>
      <c r="B128" s="262"/>
      <c r="C128" s="263"/>
      <c r="D128" s="263"/>
      <c r="E128" s="263"/>
      <c r="F128" s="262"/>
      <c r="G128" s="262"/>
    </row>
    <row r="129" spans="1:7">
      <c r="A129" s="181" t="s">
        <v>1140</v>
      </c>
      <c r="B129" s="182"/>
      <c r="C129" s="182"/>
      <c r="D129" s="182"/>
      <c r="E129" s="182"/>
      <c r="F129" s="182"/>
      <c r="G129" s="183"/>
    </row>
    <row r="130" spans="1:7">
      <c r="A130" s="247" t="s">
        <v>804</v>
      </c>
      <c r="B130" s="248"/>
      <c r="C130" s="267"/>
      <c r="D130" s="246"/>
      <c r="E130" s="246"/>
      <c r="F130" s="249"/>
      <c r="G130" s="249"/>
    </row>
    <row r="131" spans="1:7">
      <c r="A131" s="268" t="s">
        <v>1141</v>
      </c>
      <c r="B131" s="269" t="s">
        <v>1086</v>
      </c>
      <c r="C131" s="270" t="s">
        <v>1142</v>
      </c>
      <c r="D131" s="271"/>
      <c r="E131" s="271"/>
      <c r="F131" s="272"/>
      <c r="G131" s="272"/>
    </row>
    <row r="132" spans="1:7">
      <c r="A132" s="248"/>
      <c r="B132" s="243">
        <v>20.64</v>
      </c>
      <c r="C132" s="242">
        <v>116.45</v>
      </c>
      <c r="D132" s="242"/>
      <c r="E132" s="242"/>
      <c r="F132" s="243"/>
      <c r="G132" s="243"/>
    </row>
    <row r="133" spans="1:7">
      <c r="A133" s="245"/>
      <c r="B133" s="249">
        <v>6.3</v>
      </c>
      <c r="C133" s="246">
        <v>8</v>
      </c>
      <c r="D133" s="246">
        <v>10</v>
      </c>
      <c r="E133" s="246">
        <v>12.5</v>
      </c>
      <c r="F133" s="249">
        <v>16</v>
      </c>
      <c r="G133" s="249" t="s">
        <v>1143</v>
      </c>
    </row>
    <row r="134" spans="1:7">
      <c r="A134" s="245"/>
      <c r="B134" s="243">
        <f>ROUND(131.2/1.1,2)</f>
        <v>119.27</v>
      </c>
      <c r="C134" s="242">
        <f>ROUND(210.8/1.1,2)</f>
        <v>191.64</v>
      </c>
      <c r="D134" s="242">
        <f>ROUND(580.5/1.1,2)</f>
        <v>527.73</v>
      </c>
      <c r="E134" s="242">
        <f>ROUND(54.2/1.1,2)</f>
        <v>49.27</v>
      </c>
      <c r="F134" s="243"/>
      <c r="G134" s="243">
        <f>ROUND(92.3/1.1,2)</f>
        <v>83.91</v>
      </c>
    </row>
    <row r="135" spans="1:7">
      <c r="A135" s="247"/>
      <c r="B135" s="249" t="s">
        <v>1086</v>
      </c>
      <c r="C135" s="246"/>
      <c r="D135" s="246"/>
      <c r="E135" s="246"/>
      <c r="F135" s="249"/>
      <c r="G135" s="249"/>
    </row>
    <row r="136" spans="1:7">
      <c r="A136" s="245" t="s">
        <v>1144</v>
      </c>
      <c r="B136" s="243">
        <f>E125</f>
        <v>66.19</v>
      </c>
      <c r="C136" s="246"/>
      <c r="D136" s="246"/>
      <c r="E136" s="246"/>
      <c r="F136" s="249"/>
      <c r="G136" s="249"/>
    </row>
    <row r="137" spans="1:7">
      <c r="A137" s="247"/>
      <c r="B137" s="249"/>
      <c r="C137" s="246"/>
      <c r="D137" s="246"/>
      <c r="E137" s="246"/>
      <c r="F137" s="249"/>
      <c r="G137" s="249"/>
    </row>
    <row r="138" spans="1:7">
      <c r="A138" s="268" t="s">
        <v>1145</v>
      </c>
      <c r="B138" s="269" t="s">
        <v>1086</v>
      </c>
      <c r="C138" s="270" t="s">
        <v>1142</v>
      </c>
      <c r="D138" s="270"/>
      <c r="E138" s="270"/>
      <c r="F138" s="269"/>
      <c r="G138" s="269"/>
    </row>
    <row r="139" spans="1:7">
      <c r="A139" s="248"/>
      <c r="B139" s="243">
        <v>9.08</v>
      </c>
      <c r="C139" s="242">
        <v>146.93</v>
      </c>
      <c r="D139" s="242"/>
      <c r="E139" s="242"/>
      <c r="F139" s="243"/>
      <c r="G139" s="243"/>
    </row>
    <row r="140" spans="1:7">
      <c r="A140" s="245"/>
      <c r="B140" s="249">
        <v>6.3</v>
      </c>
      <c r="C140" s="246">
        <v>8</v>
      </c>
      <c r="D140" s="246">
        <v>10</v>
      </c>
      <c r="E140" s="246">
        <v>12.5</v>
      </c>
      <c r="F140" s="249">
        <v>16</v>
      </c>
      <c r="G140" s="249" t="s">
        <v>1143</v>
      </c>
    </row>
    <row r="141" spans="1:7">
      <c r="A141" s="245"/>
      <c r="B141" s="243">
        <f>ROUND(0.2/1.1,2)</f>
        <v>0.18</v>
      </c>
      <c r="C141" s="242">
        <f>ROUND(319.3/1.1,2)</f>
        <v>290.27</v>
      </c>
      <c r="D141" s="242">
        <f>ROUND(22/1.1,2)</f>
        <v>20</v>
      </c>
      <c r="E141" s="242"/>
      <c r="F141" s="243"/>
      <c r="G141" s="243">
        <f>ROUND(128.9/1.1,2)</f>
        <v>117.18</v>
      </c>
    </row>
    <row r="142" spans="1:7">
      <c r="A142" s="245"/>
      <c r="B142" s="243"/>
      <c r="C142" s="242"/>
      <c r="D142" s="242"/>
      <c r="E142" s="242"/>
      <c r="F142" s="243"/>
      <c r="G142" s="243"/>
    </row>
    <row r="143" spans="1:7">
      <c r="A143" s="268" t="s">
        <v>1146</v>
      </c>
      <c r="B143" s="269" t="s">
        <v>1086</v>
      </c>
      <c r="C143" s="270" t="s">
        <v>1142</v>
      </c>
      <c r="D143" s="270"/>
      <c r="E143" s="270"/>
      <c r="F143" s="269"/>
      <c r="G143" s="269"/>
    </row>
    <row r="144" spans="1:7">
      <c r="A144" s="248"/>
      <c r="B144" s="243">
        <v>8.59</v>
      </c>
      <c r="C144" s="242">
        <v>163.8</v>
      </c>
      <c r="D144" s="242"/>
      <c r="E144" s="242"/>
      <c r="F144" s="243"/>
      <c r="G144" s="243"/>
    </row>
    <row r="145" spans="1:7">
      <c r="A145" s="245"/>
      <c r="B145" s="249">
        <v>6.3</v>
      </c>
      <c r="C145" s="246">
        <v>8</v>
      </c>
      <c r="D145" s="246">
        <v>10</v>
      </c>
      <c r="E145" s="246">
        <v>12.5</v>
      </c>
      <c r="F145" s="249">
        <v>16</v>
      </c>
      <c r="G145" s="249" t="s">
        <v>1143</v>
      </c>
    </row>
    <row r="146" spans="1:7">
      <c r="A146" s="245"/>
      <c r="B146" s="243">
        <v>0</v>
      </c>
      <c r="C146" s="242">
        <v>0</v>
      </c>
      <c r="D146" s="242">
        <f>ROUND(433.8/1.1,2)</f>
        <v>394.36</v>
      </c>
      <c r="E146" s="242">
        <f>ROUND(44.1/1.1,2)</f>
        <v>40.09</v>
      </c>
      <c r="F146" s="243"/>
      <c r="G146" s="243">
        <f>ROUND(210.7/1.1,2)</f>
        <v>191.55</v>
      </c>
    </row>
    <row r="147" s="167" customFormat="1" spans="1:7">
      <c r="A147" s="245"/>
      <c r="B147" s="243"/>
      <c r="C147" s="242"/>
      <c r="D147" s="242"/>
      <c r="E147" s="242"/>
      <c r="F147" s="243"/>
      <c r="G147" s="243"/>
    </row>
    <row r="148" spans="1:7">
      <c r="A148" s="268" t="s">
        <v>1147</v>
      </c>
      <c r="B148" s="269" t="s">
        <v>1086</v>
      </c>
      <c r="C148" s="270" t="s">
        <v>1142</v>
      </c>
      <c r="D148" s="270"/>
      <c r="E148" s="270"/>
      <c r="F148" s="269"/>
      <c r="G148" s="269"/>
    </row>
    <row r="149" spans="1:7">
      <c r="A149" s="248"/>
      <c r="B149" s="243">
        <v>10.01</v>
      </c>
      <c r="C149" s="242">
        <v>162.85</v>
      </c>
      <c r="D149" s="242"/>
      <c r="E149" s="242"/>
      <c r="F149" s="243"/>
      <c r="G149" s="243"/>
    </row>
    <row r="150" spans="1:7">
      <c r="A150" s="245"/>
      <c r="B150" s="249">
        <v>6.3</v>
      </c>
      <c r="C150" s="246">
        <v>8</v>
      </c>
      <c r="D150" s="246">
        <v>10</v>
      </c>
      <c r="E150" s="246">
        <v>12.5</v>
      </c>
      <c r="F150" s="249">
        <v>16</v>
      </c>
      <c r="G150" s="249" t="s">
        <v>1143</v>
      </c>
    </row>
    <row r="151" spans="1:7">
      <c r="A151" s="245"/>
      <c r="B151" s="243">
        <f>ROUND(0.2/1.1,2)</f>
        <v>0.18</v>
      </c>
      <c r="C151" s="242">
        <f>ROUND(315.4/1.1,2)</f>
        <v>286.73</v>
      </c>
      <c r="D151" s="242">
        <f>ROUND(90.7/1.1,2)</f>
        <v>82.45</v>
      </c>
      <c r="E151" s="242"/>
      <c r="F151" s="243"/>
      <c r="G151" s="243">
        <f>ROUND(150.5/1.1,2)</f>
        <v>136.82</v>
      </c>
    </row>
    <row r="152" s="167" customFormat="1" spans="1:7">
      <c r="A152" s="245"/>
      <c r="B152" s="243"/>
      <c r="C152" s="242"/>
      <c r="D152" s="242"/>
      <c r="E152" s="242"/>
      <c r="F152" s="243"/>
      <c r="G152" s="243"/>
    </row>
    <row r="153" s="167" customFormat="1" spans="1:7">
      <c r="A153" s="268" t="s">
        <v>1148</v>
      </c>
      <c r="B153" s="269" t="s">
        <v>1086</v>
      </c>
      <c r="C153" s="270" t="s">
        <v>1142</v>
      </c>
      <c r="D153" s="270"/>
      <c r="E153" s="270"/>
      <c r="F153" s="269"/>
      <c r="G153" s="269"/>
    </row>
    <row r="154" s="167" customFormat="1" spans="1:7">
      <c r="A154" s="248"/>
      <c r="B154" s="243">
        <v>31.08</v>
      </c>
      <c r="C154" s="242">
        <v>265.86</v>
      </c>
      <c r="D154" s="242"/>
      <c r="E154" s="242"/>
      <c r="F154" s="243"/>
      <c r="G154" s="243"/>
    </row>
    <row r="155" s="167" customFormat="1" spans="1:7">
      <c r="A155" s="245"/>
      <c r="B155" s="249">
        <v>6.3</v>
      </c>
      <c r="C155" s="246">
        <v>8</v>
      </c>
      <c r="D155" s="246">
        <v>10</v>
      </c>
      <c r="E155" s="246">
        <v>12.5</v>
      </c>
      <c r="F155" s="249">
        <v>16</v>
      </c>
      <c r="G155" s="249" t="s">
        <v>1143</v>
      </c>
    </row>
    <row r="156" s="167" customFormat="1" spans="1:7">
      <c r="A156" s="245"/>
      <c r="B156" s="243">
        <v>821.36</v>
      </c>
      <c r="C156" s="242">
        <f>ROUND(270.7/1.1,2)</f>
        <v>246.09</v>
      </c>
      <c r="D156" s="242">
        <f>ROUND(53.8/1.1,2)</f>
        <v>48.91</v>
      </c>
      <c r="E156" s="242">
        <v>79.64</v>
      </c>
      <c r="F156" s="243"/>
      <c r="G156" s="243">
        <f>ROUND(898.8/1.1,2)</f>
        <v>817.09</v>
      </c>
    </row>
    <row r="157" s="167" customFormat="1" spans="1:7">
      <c r="A157" s="245"/>
      <c r="B157" s="243"/>
      <c r="C157" s="242"/>
      <c r="D157" s="242"/>
      <c r="E157" s="242"/>
      <c r="F157" s="243"/>
      <c r="G157" s="243"/>
    </row>
    <row r="158" spans="1:7">
      <c r="A158" s="268" t="s">
        <v>1149</v>
      </c>
      <c r="B158" s="269" t="s">
        <v>1086</v>
      </c>
      <c r="C158" s="270" t="s">
        <v>1142</v>
      </c>
      <c r="D158" s="270"/>
      <c r="E158" s="270"/>
      <c r="F158" s="269"/>
      <c r="G158" s="269"/>
    </row>
    <row r="159" spans="1:7">
      <c r="A159" s="248"/>
      <c r="B159" s="243">
        <v>0.63</v>
      </c>
      <c r="C159" s="242">
        <v>12</v>
      </c>
      <c r="D159" s="242"/>
      <c r="E159" s="242"/>
      <c r="F159" s="243"/>
      <c r="G159" s="243"/>
    </row>
    <row r="160" spans="1:7">
      <c r="A160" s="245"/>
      <c r="B160" s="249">
        <v>6.3</v>
      </c>
      <c r="C160" s="246">
        <v>8</v>
      </c>
      <c r="D160" s="246">
        <v>10</v>
      </c>
      <c r="E160" s="246">
        <v>12.5</v>
      </c>
      <c r="F160" s="249">
        <v>16</v>
      </c>
      <c r="G160" s="249" t="s">
        <v>1143</v>
      </c>
    </row>
    <row r="161" spans="1:7">
      <c r="A161" s="245"/>
      <c r="B161" s="243">
        <v>0</v>
      </c>
      <c r="C161" s="242">
        <v>0</v>
      </c>
      <c r="D161" s="242">
        <f>36.3/1.1</f>
        <v>33</v>
      </c>
      <c r="E161" s="242">
        <v>0</v>
      </c>
      <c r="F161" s="243"/>
      <c r="G161" s="243">
        <f>ROUND(15.9/1.1,2)</f>
        <v>14.45</v>
      </c>
    </row>
    <row r="162" s="167" customFormat="1" spans="1:7">
      <c r="A162" s="245"/>
      <c r="B162" s="243"/>
      <c r="C162" s="242"/>
      <c r="D162" s="242"/>
      <c r="E162" s="242"/>
      <c r="F162" s="243"/>
      <c r="G162" s="243"/>
    </row>
    <row r="163" spans="1:7">
      <c r="A163" s="268" t="s">
        <v>234</v>
      </c>
      <c r="B163" s="269" t="s">
        <v>1086</v>
      </c>
      <c r="C163" s="270" t="s">
        <v>1142</v>
      </c>
      <c r="D163" s="270"/>
      <c r="E163" s="270"/>
      <c r="F163" s="269"/>
      <c r="G163" s="269"/>
    </row>
    <row r="164" spans="1:7">
      <c r="A164" s="248"/>
      <c r="B164" s="243">
        <v>0.59</v>
      </c>
      <c r="C164" s="242">
        <v>9.48</v>
      </c>
      <c r="D164" s="242"/>
      <c r="E164" s="242"/>
      <c r="F164" s="243"/>
      <c r="G164" s="243"/>
    </row>
    <row r="165" spans="1:7">
      <c r="A165" s="245"/>
      <c r="B165" s="249">
        <v>6.3</v>
      </c>
      <c r="C165" s="246">
        <v>8</v>
      </c>
      <c r="D165" s="246">
        <v>10</v>
      </c>
      <c r="E165" s="246">
        <v>12.5</v>
      </c>
      <c r="F165" s="249">
        <v>16</v>
      </c>
      <c r="G165" s="249" t="s">
        <v>1143</v>
      </c>
    </row>
    <row r="166" spans="1:7">
      <c r="A166" s="245"/>
      <c r="B166" s="243">
        <v>0</v>
      </c>
      <c r="C166" s="242">
        <v>18.55</v>
      </c>
      <c r="D166" s="242"/>
      <c r="E166" s="242">
        <f>ROUND(B166*C166*D166,2)</f>
        <v>0</v>
      </c>
      <c r="F166" s="243"/>
      <c r="G166" s="243">
        <f>ROUND(8.4/1.1,2)</f>
        <v>7.64</v>
      </c>
    </row>
    <row r="167" s="167" customFormat="1" spans="1:7">
      <c r="A167" s="245"/>
      <c r="B167" s="243"/>
      <c r="C167" s="242"/>
      <c r="D167" s="242"/>
      <c r="E167" s="242"/>
      <c r="F167" s="243"/>
      <c r="G167" s="243"/>
    </row>
    <row r="168" spans="1:7">
      <c r="A168" s="268" t="s">
        <v>1150</v>
      </c>
      <c r="B168" s="269" t="s">
        <v>1086</v>
      </c>
      <c r="C168" s="270" t="s">
        <v>1142</v>
      </c>
      <c r="D168" s="270"/>
      <c r="E168" s="270"/>
      <c r="F168" s="269"/>
      <c r="G168" s="269"/>
    </row>
    <row r="169" spans="1:7">
      <c r="A169" s="248"/>
      <c r="B169" s="243">
        <v>1.34</v>
      </c>
      <c r="C169" s="242">
        <v>13.81</v>
      </c>
      <c r="D169" s="242"/>
      <c r="E169" s="242"/>
      <c r="F169" s="243"/>
      <c r="G169" s="243"/>
    </row>
    <row r="170" spans="1:7">
      <c r="A170" s="245"/>
      <c r="B170" s="249">
        <v>6.3</v>
      </c>
      <c r="C170" s="246">
        <v>8</v>
      </c>
      <c r="D170" s="246">
        <v>10</v>
      </c>
      <c r="E170" s="246">
        <v>12.5</v>
      </c>
      <c r="F170" s="249">
        <v>16</v>
      </c>
      <c r="G170" s="249" t="s">
        <v>1143</v>
      </c>
    </row>
    <row r="171" spans="1:7">
      <c r="A171" s="245"/>
      <c r="B171" s="243">
        <f>ROUND(20/1.1,2)</f>
        <v>18.18</v>
      </c>
      <c r="C171" s="242">
        <f>ROUND(36.7/1.1,2)</f>
        <v>33.36</v>
      </c>
      <c r="D171" s="242"/>
      <c r="E171" s="242"/>
      <c r="F171" s="243"/>
      <c r="G171" s="243">
        <f>ROUND(1.8/1.1,2)</f>
        <v>1.64</v>
      </c>
    </row>
    <row r="172" s="167" customFormat="1" spans="1:7">
      <c r="A172" s="245"/>
      <c r="B172" s="243"/>
      <c r="C172" s="242"/>
      <c r="D172" s="242"/>
      <c r="E172" s="242"/>
      <c r="F172" s="243"/>
      <c r="G172" s="243"/>
    </row>
    <row r="173" spans="1:7">
      <c r="A173" s="262"/>
      <c r="B173" s="262"/>
      <c r="C173" s="263"/>
      <c r="D173" s="263"/>
      <c r="E173" s="263"/>
      <c r="F173" s="262"/>
      <c r="G173" s="262"/>
    </row>
    <row r="174" spans="1:7">
      <c r="A174" s="273" t="s">
        <v>1151</v>
      </c>
      <c r="B174" s="274"/>
      <c r="C174" s="274"/>
      <c r="D174" s="274"/>
      <c r="E174" s="274"/>
      <c r="F174" s="274"/>
      <c r="G174" s="275"/>
    </row>
    <row r="175" ht="22.5" spans="1:7">
      <c r="A175" s="276" t="s">
        <v>1152</v>
      </c>
      <c r="B175" s="277"/>
      <c r="C175" s="221"/>
      <c r="D175" s="221" t="s">
        <v>1153</v>
      </c>
      <c r="E175" s="221" t="s">
        <v>1082</v>
      </c>
      <c r="F175" s="278"/>
      <c r="G175" s="278" t="s">
        <v>1154</v>
      </c>
    </row>
    <row r="176" spans="1:7">
      <c r="A176" s="188" t="s">
        <v>1155</v>
      </c>
      <c r="B176" s="279"/>
      <c r="C176" s="190"/>
      <c r="D176" s="190">
        <f>G197</f>
        <v>195.67</v>
      </c>
      <c r="E176" s="190">
        <v>0.04</v>
      </c>
      <c r="F176" s="189"/>
      <c r="G176" s="280">
        <f>ROUND(E176*D176,2)</f>
        <v>7.83</v>
      </c>
    </row>
    <row r="177" spans="1:7">
      <c r="A177" s="281"/>
      <c r="B177" s="282"/>
      <c r="C177" s="283"/>
      <c r="D177" s="283"/>
      <c r="E177" s="283"/>
      <c r="F177" s="284"/>
      <c r="G177" s="231"/>
    </row>
    <row r="178" ht="22.5" spans="1:7">
      <c r="A178" s="276" t="s">
        <v>1156</v>
      </c>
      <c r="B178" s="277"/>
      <c r="C178" s="221"/>
      <c r="D178" s="217"/>
      <c r="E178" s="221" t="s">
        <v>1157</v>
      </c>
      <c r="F178" s="284"/>
      <c r="G178" s="278" t="s">
        <v>1157</v>
      </c>
    </row>
    <row r="179" spans="1:7">
      <c r="A179" s="205" t="s">
        <v>1158</v>
      </c>
      <c r="B179" s="279"/>
      <c r="C179" s="190"/>
      <c r="D179" s="190"/>
      <c r="E179" s="190">
        <v>37.35</v>
      </c>
      <c r="F179" s="285"/>
      <c r="G179" s="189">
        <f>E179</f>
        <v>37.35</v>
      </c>
    </row>
    <row r="180" spans="1:7">
      <c r="A180" s="205" t="s">
        <v>1159</v>
      </c>
      <c r="B180" s="279"/>
      <c r="C180" s="190"/>
      <c r="D180" s="190"/>
      <c r="E180" s="190">
        <v>25.41</v>
      </c>
      <c r="F180" s="285"/>
      <c r="G180" s="189">
        <f t="shared" ref="G180:G196" si="4">E180</f>
        <v>25.41</v>
      </c>
    </row>
    <row r="181" spans="1:7">
      <c r="A181" s="205" t="s">
        <v>1160</v>
      </c>
      <c r="B181" s="279"/>
      <c r="C181" s="190"/>
      <c r="D181" s="190"/>
      <c r="E181" s="190">
        <v>14</v>
      </c>
      <c r="F181" s="285"/>
      <c r="G181" s="189">
        <f t="shared" si="4"/>
        <v>14</v>
      </c>
    </row>
    <row r="182" spans="1:7">
      <c r="A182" s="205" t="s">
        <v>1161</v>
      </c>
      <c r="B182" s="279"/>
      <c r="C182" s="190"/>
      <c r="D182" s="190"/>
      <c r="E182" s="190">
        <v>2.6</v>
      </c>
      <c r="F182" s="285"/>
      <c r="G182" s="189">
        <f t="shared" si="4"/>
        <v>2.6</v>
      </c>
    </row>
    <row r="183" spans="1:7">
      <c r="A183" s="205" t="s">
        <v>1162</v>
      </c>
      <c r="B183" s="279"/>
      <c r="C183" s="190"/>
      <c r="D183" s="190"/>
      <c r="E183" s="190">
        <v>13.73</v>
      </c>
      <c r="F183" s="285"/>
      <c r="G183" s="189">
        <f t="shared" si="4"/>
        <v>13.73</v>
      </c>
    </row>
    <row r="184" spans="1:7">
      <c r="A184" s="205" t="s">
        <v>1163</v>
      </c>
      <c r="B184" s="279"/>
      <c r="C184" s="190"/>
      <c r="D184" s="190"/>
      <c r="E184" s="190">
        <f>32-8.1</f>
        <v>23.9</v>
      </c>
      <c r="F184" s="285"/>
      <c r="G184" s="189">
        <f t="shared" si="4"/>
        <v>23.9</v>
      </c>
    </row>
    <row r="185" spans="1:7">
      <c r="A185" s="205" t="s">
        <v>1164</v>
      </c>
      <c r="B185" s="279"/>
      <c r="C185" s="190"/>
      <c r="D185" s="190"/>
      <c r="E185" s="190">
        <v>8.31</v>
      </c>
      <c r="F185" s="285"/>
      <c r="G185" s="189">
        <f t="shared" si="4"/>
        <v>8.31</v>
      </c>
    </row>
    <row r="186" spans="1:7">
      <c r="A186" s="205" t="s">
        <v>1165</v>
      </c>
      <c r="B186" s="279"/>
      <c r="C186" s="190"/>
      <c r="D186" s="190"/>
      <c r="E186" s="190">
        <v>4</v>
      </c>
      <c r="F186" s="285"/>
      <c r="G186" s="189">
        <f t="shared" si="4"/>
        <v>4</v>
      </c>
    </row>
    <row r="187" spans="1:7">
      <c r="A187" s="205" t="s">
        <v>1166</v>
      </c>
      <c r="B187" s="279"/>
      <c r="C187" s="190"/>
      <c r="D187" s="190"/>
      <c r="E187" s="190">
        <v>2.8</v>
      </c>
      <c r="F187" s="285"/>
      <c r="G187" s="189">
        <f t="shared" si="4"/>
        <v>2.8</v>
      </c>
    </row>
    <row r="188" spans="1:7">
      <c r="A188" s="205" t="s">
        <v>1167</v>
      </c>
      <c r="B188" s="279"/>
      <c r="C188" s="190"/>
      <c r="D188" s="190"/>
      <c r="E188" s="190">
        <v>2.59</v>
      </c>
      <c r="F188" s="285"/>
      <c r="G188" s="189">
        <f t="shared" si="4"/>
        <v>2.59</v>
      </c>
    </row>
    <row r="189" spans="1:7">
      <c r="A189" s="205" t="s">
        <v>1168</v>
      </c>
      <c r="B189" s="279"/>
      <c r="C189" s="190"/>
      <c r="D189" s="190"/>
      <c r="E189" s="190">
        <v>6.9</v>
      </c>
      <c r="F189" s="285"/>
      <c r="G189" s="189">
        <f t="shared" si="4"/>
        <v>6.9</v>
      </c>
    </row>
    <row r="190" spans="1:7">
      <c r="A190" s="205" t="s">
        <v>1169</v>
      </c>
      <c r="B190" s="279"/>
      <c r="C190" s="190"/>
      <c r="D190" s="190"/>
      <c r="E190" s="190">
        <v>6.9</v>
      </c>
      <c r="F190" s="285"/>
      <c r="G190" s="189">
        <f t="shared" si="4"/>
        <v>6.9</v>
      </c>
    </row>
    <row r="191" spans="1:7">
      <c r="A191" s="205" t="s">
        <v>1170</v>
      </c>
      <c r="B191" s="279"/>
      <c r="C191" s="190"/>
      <c r="D191" s="190"/>
      <c r="E191" s="190">
        <v>13.73</v>
      </c>
      <c r="F191" s="285"/>
      <c r="G191" s="189">
        <f t="shared" si="4"/>
        <v>13.73</v>
      </c>
    </row>
    <row r="192" spans="1:7">
      <c r="A192" s="205" t="s">
        <v>1171</v>
      </c>
      <c r="B192" s="279"/>
      <c r="C192" s="190"/>
      <c r="D192" s="190"/>
      <c r="E192" s="190">
        <v>2.6</v>
      </c>
      <c r="F192" s="285"/>
      <c r="G192" s="189">
        <f t="shared" si="4"/>
        <v>2.6</v>
      </c>
    </row>
    <row r="193" spans="1:7">
      <c r="A193" s="205" t="s">
        <v>1172</v>
      </c>
      <c r="B193" s="279"/>
      <c r="C193" s="190"/>
      <c r="D193" s="190"/>
      <c r="E193" s="190">
        <v>14</v>
      </c>
      <c r="F193" s="285"/>
      <c r="G193" s="189">
        <f t="shared" si="4"/>
        <v>14</v>
      </c>
    </row>
    <row r="194" spans="1:7">
      <c r="A194" s="205" t="s">
        <v>1173</v>
      </c>
      <c r="B194" s="279"/>
      <c r="C194" s="190"/>
      <c r="D194" s="190"/>
      <c r="E194" s="190">
        <v>6.22</v>
      </c>
      <c r="F194" s="285"/>
      <c r="G194" s="189">
        <f t="shared" si="4"/>
        <v>6.22</v>
      </c>
    </row>
    <row r="195" spans="1:7">
      <c r="A195" s="205" t="s">
        <v>1174</v>
      </c>
      <c r="B195" s="279"/>
      <c r="C195" s="190"/>
      <c r="D195" s="190"/>
      <c r="E195" s="190">
        <v>4.35</v>
      </c>
      <c r="F195" s="285"/>
      <c r="G195" s="189">
        <f t="shared" si="4"/>
        <v>4.35</v>
      </c>
    </row>
    <row r="196" spans="1:7">
      <c r="A196" s="205" t="s">
        <v>1175</v>
      </c>
      <c r="B196" s="279"/>
      <c r="C196" s="190"/>
      <c r="D196" s="190"/>
      <c r="E196" s="190">
        <v>6.28</v>
      </c>
      <c r="F196" s="285"/>
      <c r="G196" s="189">
        <f t="shared" si="4"/>
        <v>6.28</v>
      </c>
    </row>
    <row r="197" spans="1:7">
      <c r="A197" s="286"/>
      <c r="B197" s="277"/>
      <c r="C197" s="221"/>
      <c r="D197" s="221"/>
      <c r="E197" s="287" t="s">
        <v>779</v>
      </c>
      <c r="F197" s="213"/>
      <c r="G197" s="214">
        <f>SUM(G179:G196)</f>
        <v>195.67</v>
      </c>
    </row>
    <row r="198" spans="1:7">
      <c r="A198" s="286"/>
      <c r="B198" s="277"/>
      <c r="C198" s="221"/>
      <c r="D198" s="221"/>
      <c r="E198" s="283"/>
      <c r="F198" s="222" t="s">
        <v>1082</v>
      </c>
      <c r="G198" s="222">
        <v>0.1</v>
      </c>
    </row>
    <row r="199" spans="1:7">
      <c r="A199" s="286"/>
      <c r="B199" s="277"/>
      <c r="C199" s="221"/>
      <c r="D199" s="221"/>
      <c r="E199" s="287" t="s">
        <v>1074</v>
      </c>
      <c r="F199" s="213"/>
      <c r="G199" s="214">
        <f>G197*G198</f>
        <v>19.567</v>
      </c>
    </row>
    <row r="200" spans="1:7">
      <c r="A200" s="286"/>
      <c r="B200" s="277"/>
      <c r="C200" s="221"/>
      <c r="D200" s="221"/>
      <c r="E200" s="221"/>
      <c r="F200" s="222"/>
      <c r="G200" s="222"/>
    </row>
    <row r="201" spans="1:7">
      <c r="A201" s="288" t="s">
        <v>1176</v>
      </c>
      <c r="B201" s="289"/>
      <c r="C201" s="290"/>
      <c r="D201" s="290"/>
      <c r="E201" s="291" t="s">
        <v>1177</v>
      </c>
      <c r="F201" s="292"/>
      <c r="G201" s="293" t="s">
        <v>779</v>
      </c>
    </row>
    <row r="202" spans="1:7">
      <c r="A202" s="288" t="s">
        <v>1178</v>
      </c>
      <c r="B202" s="289"/>
      <c r="C202" s="290"/>
      <c r="D202" s="290"/>
      <c r="E202" s="291"/>
      <c r="F202" s="292"/>
      <c r="G202" s="293"/>
    </row>
    <row r="203" spans="1:7">
      <c r="A203" s="205" t="s">
        <v>1158</v>
      </c>
      <c r="B203" s="279"/>
      <c r="C203" s="190"/>
      <c r="D203" s="190"/>
      <c r="E203" s="190">
        <v>37.35</v>
      </c>
      <c r="F203" s="189"/>
      <c r="G203" s="189">
        <f t="shared" ref="G203:G209" si="5">E203</f>
        <v>37.35</v>
      </c>
    </row>
    <row r="204" spans="1:7">
      <c r="A204" s="205" t="s">
        <v>1159</v>
      </c>
      <c r="B204" s="279"/>
      <c r="C204" s="190"/>
      <c r="D204" s="190"/>
      <c r="E204" s="190">
        <v>25.41</v>
      </c>
      <c r="F204" s="189"/>
      <c r="G204" s="189">
        <f t="shared" si="5"/>
        <v>25.41</v>
      </c>
    </row>
    <row r="205" spans="1:7">
      <c r="A205" s="205" t="s">
        <v>1160</v>
      </c>
      <c r="B205" s="279"/>
      <c r="C205" s="190"/>
      <c r="D205" s="190"/>
      <c r="E205" s="190">
        <v>14</v>
      </c>
      <c r="F205" s="189"/>
      <c r="G205" s="189">
        <f t="shared" si="5"/>
        <v>14</v>
      </c>
    </row>
    <row r="206" spans="1:7">
      <c r="A206" s="205" t="s">
        <v>1162</v>
      </c>
      <c r="B206" s="279"/>
      <c r="C206" s="190"/>
      <c r="D206" s="190"/>
      <c r="E206" s="190">
        <v>13.73</v>
      </c>
      <c r="F206" s="189"/>
      <c r="G206" s="189">
        <f t="shared" si="5"/>
        <v>13.73</v>
      </c>
    </row>
    <row r="207" spans="1:7">
      <c r="A207" s="205" t="s">
        <v>1163</v>
      </c>
      <c r="B207" s="279"/>
      <c r="C207" s="190"/>
      <c r="D207" s="190"/>
      <c r="E207" s="190">
        <v>23.9</v>
      </c>
      <c r="F207" s="189"/>
      <c r="G207" s="189">
        <f t="shared" si="5"/>
        <v>23.9</v>
      </c>
    </row>
    <row r="208" spans="1:7">
      <c r="A208" s="205" t="s">
        <v>1170</v>
      </c>
      <c r="B208" s="279"/>
      <c r="C208" s="190"/>
      <c r="D208" s="190"/>
      <c r="E208" s="190">
        <v>13.73</v>
      </c>
      <c r="F208" s="189"/>
      <c r="G208" s="189">
        <f t="shared" si="5"/>
        <v>13.73</v>
      </c>
    </row>
    <row r="209" spans="1:7">
      <c r="A209" s="188" t="s">
        <v>1172</v>
      </c>
      <c r="B209" s="279"/>
      <c r="C209" s="190"/>
      <c r="D209" s="190"/>
      <c r="E209" s="190">
        <v>14</v>
      </c>
      <c r="F209" s="189"/>
      <c r="G209" s="189">
        <f t="shared" si="5"/>
        <v>14</v>
      </c>
    </row>
    <row r="210" spans="1:7">
      <c r="A210" s="286"/>
      <c r="B210" s="277"/>
      <c r="C210" s="221"/>
      <c r="D210" s="221"/>
      <c r="E210" s="212" t="s">
        <v>779</v>
      </c>
      <c r="F210" s="213"/>
      <c r="G210" s="214">
        <f>SUM(G203:G209)</f>
        <v>142.12</v>
      </c>
    </row>
    <row r="211" spans="1:7">
      <c r="A211" s="294" t="s">
        <v>1179</v>
      </c>
      <c r="B211" s="289"/>
      <c r="C211" s="290"/>
      <c r="D211" s="290"/>
      <c r="E211" s="291" t="s">
        <v>1177</v>
      </c>
      <c r="F211" s="292"/>
      <c r="G211" s="293" t="s">
        <v>779</v>
      </c>
    </row>
    <row r="212" spans="1:7">
      <c r="A212" s="205" t="s">
        <v>1161</v>
      </c>
      <c r="B212" s="279"/>
      <c r="C212" s="190"/>
      <c r="D212" s="190"/>
      <c r="E212" s="190">
        <v>2.6</v>
      </c>
      <c r="F212" s="189"/>
      <c r="G212" s="189">
        <f t="shared" ref="G212:G217" si="6">E212</f>
        <v>2.6</v>
      </c>
    </row>
    <row r="213" spans="1:7">
      <c r="A213" s="205" t="s">
        <v>1165</v>
      </c>
      <c r="B213" s="279"/>
      <c r="C213" s="190"/>
      <c r="D213" s="190"/>
      <c r="E213" s="190">
        <v>4</v>
      </c>
      <c r="F213" s="189"/>
      <c r="G213" s="189">
        <f t="shared" si="6"/>
        <v>4</v>
      </c>
    </row>
    <row r="214" spans="1:7">
      <c r="A214" s="205" t="s">
        <v>1166</v>
      </c>
      <c r="B214" s="279"/>
      <c r="C214" s="190"/>
      <c r="D214" s="190"/>
      <c r="E214" s="190">
        <v>2.8</v>
      </c>
      <c r="F214" s="189"/>
      <c r="G214" s="189">
        <f t="shared" si="6"/>
        <v>2.8</v>
      </c>
    </row>
    <row r="215" spans="1:7">
      <c r="A215" s="205" t="s">
        <v>1167</v>
      </c>
      <c r="B215" s="279"/>
      <c r="C215" s="190"/>
      <c r="D215" s="190"/>
      <c r="E215" s="190">
        <v>2.6</v>
      </c>
      <c r="F215" s="189"/>
      <c r="G215" s="189">
        <f t="shared" si="6"/>
        <v>2.6</v>
      </c>
    </row>
    <row r="216" spans="1:7">
      <c r="A216" s="205" t="s">
        <v>1171</v>
      </c>
      <c r="B216" s="279"/>
      <c r="C216" s="190"/>
      <c r="D216" s="190"/>
      <c r="E216" s="190">
        <v>2.6</v>
      </c>
      <c r="F216" s="189"/>
      <c r="G216" s="189">
        <f t="shared" si="6"/>
        <v>2.6</v>
      </c>
    </row>
    <row r="217" spans="1:7">
      <c r="A217" s="205" t="s">
        <v>1174</v>
      </c>
      <c r="B217" s="279"/>
      <c r="C217" s="190"/>
      <c r="D217" s="190"/>
      <c r="E217" s="190">
        <v>4.35</v>
      </c>
      <c r="F217" s="189"/>
      <c r="G217" s="189">
        <f t="shared" si="6"/>
        <v>4.35</v>
      </c>
    </row>
    <row r="218" spans="1:7">
      <c r="A218" s="281"/>
      <c r="B218" s="277"/>
      <c r="C218" s="221"/>
      <c r="D218" s="221"/>
      <c r="E218" s="295" t="s">
        <v>779</v>
      </c>
      <c r="F218" s="295"/>
      <c r="G218" s="296">
        <f>SUM(G212:G217)</f>
        <v>18.95</v>
      </c>
    </row>
    <row r="219" spans="1:7">
      <c r="A219" s="294" t="s">
        <v>1180</v>
      </c>
      <c r="B219" s="289"/>
      <c r="C219" s="290"/>
      <c r="D219" s="290"/>
      <c r="E219" s="291" t="s">
        <v>1177</v>
      </c>
      <c r="F219" s="292"/>
      <c r="G219" s="293" t="s">
        <v>779</v>
      </c>
    </row>
    <row r="220" spans="1:7">
      <c r="A220" s="205" t="s">
        <v>1164</v>
      </c>
      <c r="B220" s="279"/>
      <c r="C220" s="190"/>
      <c r="D220" s="190"/>
      <c r="E220" s="190">
        <v>8.31</v>
      </c>
      <c r="F220" s="189"/>
      <c r="G220" s="189">
        <f>E220</f>
        <v>8.31</v>
      </c>
    </row>
    <row r="221" spans="1:7">
      <c r="A221" s="205" t="s">
        <v>1168</v>
      </c>
      <c r="B221" s="279"/>
      <c r="C221" s="190"/>
      <c r="D221" s="190"/>
      <c r="E221" s="190">
        <v>6.9</v>
      </c>
      <c r="F221" s="189"/>
      <c r="G221" s="189">
        <f>E221</f>
        <v>6.9</v>
      </c>
    </row>
    <row r="222" spans="1:7">
      <c r="A222" s="205" t="s">
        <v>1169</v>
      </c>
      <c r="B222" s="279"/>
      <c r="C222" s="190"/>
      <c r="D222" s="190"/>
      <c r="E222" s="190">
        <v>6.9</v>
      </c>
      <c r="F222" s="189"/>
      <c r="G222" s="189">
        <f>E222</f>
        <v>6.9</v>
      </c>
    </row>
    <row r="223" spans="1:7">
      <c r="A223" s="205" t="s">
        <v>1173</v>
      </c>
      <c r="B223" s="279"/>
      <c r="C223" s="190"/>
      <c r="D223" s="190"/>
      <c r="E223" s="190">
        <v>6.22</v>
      </c>
      <c r="F223" s="189"/>
      <c r="G223" s="189">
        <f>E223</f>
        <v>6.22</v>
      </c>
    </row>
    <row r="224" spans="1:7">
      <c r="A224" s="205" t="s">
        <v>1175</v>
      </c>
      <c r="B224" s="279"/>
      <c r="C224" s="190"/>
      <c r="D224" s="190"/>
      <c r="E224" s="190">
        <v>6.28</v>
      </c>
      <c r="F224" s="189"/>
      <c r="G224" s="189">
        <f>E224</f>
        <v>6.28</v>
      </c>
    </row>
    <row r="225" spans="1:7">
      <c r="A225" s="277"/>
      <c r="B225" s="277"/>
      <c r="C225" s="297"/>
      <c r="D225" s="297"/>
      <c r="E225" s="295" t="s">
        <v>779</v>
      </c>
      <c r="F225" s="295"/>
      <c r="G225" s="296">
        <f>SUM(G220:G224)</f>
        <v>34.61</v>
      </c>
    </row>
    <row r="226" spans="1:7">
      <c r="A226" s="277"/>
      <c r="B226" s="277"/>
      <c r="C226" s="297"/>
      <c r="D226" s="297"/>
      <c r="E226" s="297"/>
      <c r="F226" s="277"/>
      <c r="G226" s="277"/>
    </row>
    <row r="227" spans="1:7">
      <c r="A227" s="288" t="s">
        <v>1181</v>
      </c>
      <c r="B227" s="289"/>
      <c r="C227" s="290"/>
      <c r="D227" s="298" t="s">
        <v>1082</v>
      </c>
      <c r="E227" s="291" t="s">
        <v>1182</v>
      </c>
      <c r="F227" s="292"/>
      <c r="G227" s="293" t="s">
        <v>1183</v>
      </c>
    </row>
    <row r="228" spans="1:7">
      <c r="A228" s="286" t="s">
        <v>254</v>
      </c>
      <c r="B228" s="277"/>
      <c r="C228" s="221"/>
      <c r="D228" s="190">
        <v>0.3</v>
      </c>
      <c r="E228" s="190">
        <v>8.1</v>
      </c>
      <c r="F228" s="189"/>
      <c r="G228" s="189">
        <f>ROUND(E228*D228,2)</f>
        <v>2.43</v>
      </c>
    </row>
    <row r="229" spans="1:7">
      <c r="A229" s="286" t="s">
        <v>1184</v>
      </c>
      <c r="B229" s="277"/>
      <c r="C229" s="221"/>
      <c r="D229" s="190">
        <v>0.3</v>
      </c>
      <c r="E229" s="190">
        <f>E228</f>
        <v>8.1</v>
      </c>
      <c r="F229" s="189"/>
      <c r="G229" s="189">
        <f>ROUND(E229*D229,2)</f>
        <v>2.43</v>
      </c>
    </row>
    <row r="230" spans="1:7">
      <c r="A230" s="286" t="s">
        <v>1185</v>
      </c>
      <c r="B230" s="277"/>
      <c r="C230" s="221"/>
      <c r="D230" s="190">
        <v>0.1</v>
      </c>
      <c r="E230" s="190">
        <f>E229</f>
        <v>8.1</v>
      </c>
      <c r="F230" s="189"/>
      <c r="G230" s="189">
        <f>E230*D230</f>
        <v>0.81</v>
      </c>
    </row>
    <row r="231" spans="1:7">
      <c r="A231" s="286" t="s">
        <v>1186</v>
      </c>
      <c r="B231" s="277"/>
      <c r="C231" s="221"/>
      <c r="D231" s="190"/>
      <c r="E231" s="190">
        <f>E229</f>
        <v>8.1</v>
      </c>
      <c r="F231" s="189"/>
      <c r="G231" s="189"/>
    </row>
    <row r="232" spans="1:7">
      <c r="A232" s="286" t="s">
        <v>1187</v>
      </c>
      <c r="B232" s="277"/>
      <c r="C232" s="221"/>
      <c r="D232" s="190"/>
      <c r="E232" s="190">
        <f>E229</f>
        <v>8.1</v>
      </c>
      <c r="F232" s="189"/>
      <c r="G232" s="189"/>
    </row>
    <row r="233" spans="1:7">
      <c r="A233" s="277"/>
      <c r="B233" s="277"/>
      <c r="C233" s="297"/>
      <c r="D233" s="297"/>
      <c r="E233" s="297"/>
      <c r="F233" s="277"/>
      <c r="G233" s="277"/>
    </row>
    <row r="234" spans="1:7">
      <c r="A234" s="181" t="s">
        <v>1188</v>
      </c>
      <c r="B234" s="182"/>
      <c r="C234" s="182"/>
      <c r="D234" s="182"/>
      <c r="E234" s="182"/>
      <c r="F234" s="182"/>
      <c r="G234" s="183"/>
    </row>
    <row r="235" spans="1:7">
      <c r="A235" s="184" t="s">
        <v>1026</v>
      </c>
      <c r="B235" s="185"/>
      <c r="C235" s="186"/>
      <c r="D235" s="186" t="s">
        <v>1189</v>
      </c>
      <c r="E235" s="186" t="s">
        <v>1190</v>
      </c>
      <c r="F235" s="185" t="s">
        <v>1191</v>
      </c>
      <c r="G235" s="187" t="s">
        <v>1177</v>
      </c>
    </row>
    <row r="236" spans="1:7">
      <c r="A236" s="299" t="s">
        <v>1062</v>
      </c>
      <c r="B236" s="222"/>
      <c r="C236" s="300"/>
      <c r="D236" s="190">
        <v>10</v>
      </c>
      <c r="E236" s="190">
        <v>3.15</v>
      </c>
      <c r="F236" s="189">
        <f>2*2.1</f>
        <v>4.2</v>
      </c>
      <c r="G236" s="189">
        <f>ROUND(D236*E236,2)-F236</f>
        <v>27.3</v>
      </c>
    </row>
    <row r="237" spans="1:7">
      <c r="A237" s="299" t="s">
        <v>1063</v>
      </c>
      <c r="B237" s="222"/>
      <c r="C237" s="300"/>
      <c r="D237" s="190">
        <v>20.275</v>
      </c>
      <c r="E237" s="190">
        <v>3.15</v>
      </c>
      <c r="F237" s="225">
        <v>8.68</v>
      </c>
      <c r="G237" s="189">
        <f t="shared" ref="G237:G264" si="7">ROUND(D237*E237,2)-F237</f>
        <v>55.19</v>
      </c>
    </row>
    <row r="238" spans="1:7">
      <c r="A238" s="299" t="s">
        <v>1065</v>
      </c>
      <c r="B238" s="222"/>
      <c r="C238" s="300"/>
      <c r="D238" s="190">
        <v>8.275</v>
      </c>
      <c r="E238" s="190">
        <v>3.15</v>
      </c>
      <c r="F238" s="225">
        <v>1.725</v>
      </c>
      <c r="G238" s="189">
        <f t="shared" si="7"/>
        <v>24.345</v>
      </c>
    </row>
    <row r="239" spans="1:7">
      <c r="A239" s="299" t="s">
        <v>1066</v>
      </c>
      <c r="B239" s="222"/>
      <c r="C239" s="300"/>
      <c r="D239" s="190">
        <v>22.45</v>
      </c>
      <c r="E239" s="190">
        <v>3.15</v>
      </c>
      <c r="F239" s="225">
        <f>5*2*1.15+1.6*2.1+1*0.3+1.5*1.15</f>
        <v>16.885</v>
      </c>
      <c r="G239" s="189">
        <f t="shared" si="7"/>
        <v>53.835</v>
      </c>
    </row>
    <row r="240" spans="1:7">
      <c r="A240" s="299" t="s">
        <v>1067</v>
      </c>
      <c r="B240" s="222"/>
      <c r="C240" s="300"/>
      <c r="D240" s="190">
        <v>2.175</v>
      </c>
      <c r="E240" s="190">
        <v>3.15</v>
      </c>
      <c r="F240" s="225"/>
      <c r="G240" s="189">
        <f t="shared" si="7"/>
        <v>6.85</v>
      </c>
    </row>
    <row r="241" spans="1:7">
      <c r="A241" s="299" t="s">
        <v>1068</v>
      </c>
      <c r="B241" s="222"/>
      <c r="C241" s="300"/>
      <c r="D241" s="190">
        <v>5.55</v>
      </c>
      <c r="E241" s="190">
        <v>3.15</v>
      </c>
      <c r="F241" s="225">
        <f>2*0.8*2.1</f>
        <v>3.36</v>
      </c>
      <c r="G241" s="189">
        <f t="shared" si="7"/>
        <v>14.12</v>
      </c>
    </row>
    <row r="242" spans="1:7">
      <c r="A242" s="299" t="s">
        <v>1069</v>
      </c>
      <c r="B242" s="222"/>
      <c r="C242" s="300"/>
      <c r="D242" s="190">
        <v>16.85</v>
      </c>
      <c r="E242" s="190">
        <v>3.15</v>
      </c>
      <c r="F242" s="225">
        <f>0.8*2.1+1.6*2.1</f>
        <v>5.04</v>
      </c>
      <c r="G242" s="189">
        <f t="shared" si="7"/>
        <v>48.04</v>
      </c>
    </row>
    <row r="243" spans="1:7">
      <c r="A243" s="299" t="s">
        <v>1070</v>
      </c>
      <c r="B243" s="222"/>
      <c r="C243" s="300"/>
      <c r="D243" s="190">
        <v>4</v>
      </c>
      <c r="E243" s="190">
        <v>3.15</v>
      </c>
      <c r="F243" s="225"/>
      <c r="G243" s="189">
        <f t="shared" si="7"/>
        <v>12.6</v>
      </c>
    </row>
    <row r="244" spans="1:7">
      <c r="A244" s="299" t="s">
        <v>1071</v>
      </c>
      <c r="B244" s="222"/>
      <c r="C244" s="300"/>
      <c r="D244" s="190">
        <v>2.11</v>
      </c>
      <c r="E244" s="190">
        <v>3.15</v>
      </c>
      <c r="F244" s="225">
        <f>0.8*2.1</f>
        <v>1.68</v>
      </c>
      <c r="G244" s="189">
        <f t="shared" si="7"/>
        <v>4.97</v>
      </c>
    </row>
    <row r="245" spans="1:7">
      <c r="A245" s="299" t="s">
        <v>1072</v>
      </c>
      <c r="B245" s="222"/>
      <c r="C245" s="300"/>
      <c r="D245" s="190">
        <v>1.3</v>
      </c>
      <c r="E245" s="190">
        <v>3.15</v>
      </c>
      <c r="F245" s="225"/>
      <c r="G245" s="189">
        <f t="shared" si="7"/>
        <v>4.1</v>
      </c>
    </row>
    <row r="246" spans="1:7">
      <c r="A246" s="299" t="s">
        <v>1192</v>
      </c>
      <c r="B246" s="222"/>
      <c r="C246" s="300"/>
      <c r="D246" s="190">
        <v>4</v>
      </c>
      <c r="E246" s="190">
        <v>3.15</v>
      </c>
      <c r="F246" s="225">
        <f>0.8*2.1</f>
        <v>1.68</v>
      </c>
      <c r="G246" s="189">
        <f t="shared" si="7"/>
        <v>10.92</v>
      </c>
    </row>
    <row r="247" spans="1:7">
      <c r="A247" s="299" t="s">
        <v>1193</v>
      </c>
      <c r="B247" s="222"/>
      <c r="C247" s="300"/>
      <c r="D247" s="190">
        <v>4</v>
      </c>
      <c r="E247" s="190">
        <v>3.15</v>
      </c>
      <c r="F247" s="225"/>
      <c r="G247" s="189">
        <f t="shared" si="7"/>
        <v>12.6</v>
      </c>
    </row>
    <row r="248" spans="1:7">
      <c r="A248" s="299" t="s">
        <v>1194</v>
      </c>
      <c r="B248" s="222"/>
      <c r="C248" s="300"/>
      <c r="D248" s="190">
        <v>18.9</v>
      </c>
      <c r="E248" s="190">
        <v>3.15</v>
      </c>
      <c r="F248" s="225">
        <f>4*0.8*2.1+1.8*2.1</f>
        <v>10.5</v>
      </c>
      <c r="G248" s="189">
        <f t="shared" si="7"/>
        <v>49.04</v>
      </c>
    </row>
    <row r="249" spans="1:7">
      <c r="A249" s="299" t="s">
        <v>1195</v>
      </c>
      <c r="B249" s="222"/>
      <c r="C249" s="300"/>
      <c r="D249" s="190">
        <v>4</v>
      </c>
      <c r="E249" s="190">
        <v>3.15</v>
      </c>
      <c r="F249" s="225"/>
      <c r="G249" s="189">
        <f t="shared" si="7"/>
        <v>12.6</v>
      </c>
    </row>
    <row r="250" spans="1:7">
      <c r="A250" s="299" t="s">
        <v>1196</v>
      </c>
      <c r="B250" s="222"/>
      <c r="C250" s="300"/>
      <c r="D250" s="190">
        <v>1.4</v>
      </c>
      <c r="E250" s="190">
        <v>3.15</v>
      </c>
      <c r="F250" s="225">
        <f>0.3*1</f>
        <v>0.3</v>
      </c>
      <c r="G250" s="189">
        <f t="shared" si="7"/>
        <v>4.11</v>
      </c>
    </row>
    <row r="251" spans="1:7">
      <c r="A251" s="299" t="s">
        <v>1197</v>
      </c>
      <c r="B251" s="222"/>
      <c r="C251" s="300"/>
      <c r="D251" s="190">
        <v>4</v>
      </c>
      <c r="E251" s="190">
        <v>3.15</v>
      </c>
      <c r="F251" s="225"/>
      <c r="G251" s="189">
        <f t="shared" si="7"/>
        <v>12.6</v>
      </c>
    </row>
    <row r="252" spans="1:7">
      <c r="A252" s="299" t="s">
        <v>1198</v>
      </c>
      <c r="B252" s="222"/>
      <c r="C252" s="300"/>
      <c r="D252" s="190">
        <v>4</v>
      </c>
      <c r="E252" s="190">
        <v>3.15</v>
      </c>
      <c r="F252" s="225"/>
      <c r="G252" s="189">
        <f t="shared" si="7"/>
        <v>12.6</v>
      </c>
    </row>
    <row r="253" spans="1:7">
      <c r="A253" s="299" t="s">
        <v>1199</v>
      </c>
      <c r="B253" s="222"/>
      <c r="C253" s="300"/>
      <c r="D253" s="190">
        <v>4</v>
      </c>
      <c r="E253" s="190">
        <v>3.15</v>
      </c>
      <c r="F253" s="225"/>
      <c r="G253" s="189">
        <f t="shared" si="7"/>
        <v>12.6</v>
      </c>
    </row>
    <row r="254" spans="1:7">
      <c r="A254" s="299" t="s">
        <v>1133</v>
      </c>
      <c r="B254" s="222"/>
      <c r="C254" s="300"/>
      <c r="D254" s="190">
        <v>2.11</v>
      </c>
      <c r="E254" s="190">
        <v>3.15</v>
      </c>
      <c r="F254" s="225">
        <f>0.8*2.1</f>
        <v>1.68</v>
      </c>
      <c r="G254" s="189">
        <f t="shared" si="7"/>
        <v>4.97</v>
      </c>
    </row>
    <row r="255" spans="1:7">
      <c r="A255" s="299" t="s">
        <v>1200</v>
      </c>
      <c r="B255" s="222"/>
      <c r="C255" s="300"/>
      <c r="D255" s="190">
        <v>1.3</v>
      </c>
      <c r="E255" s="190">
        <v>3.15</v>
      </c>
      <c r="F255" s="225"/>
      <c r="G255" s="189">
        <f t="shared" si="7"/>
        <v>4.1</v>
      </c>
    </row>
    <row r="256" spans="1:7">
      <c r="A256" s="299" t="s">
        <v>1064</v>
      </c>
      <c r="B256" s="222"/>
      <c r="C256" s="300"/>
      <c r="D256" s="190">
        <v>4</v>
      </c>
      <c r="E256" s="190">
        <v>3.15</v>
      </c>
      <c r="F256" s="225">
        <f>0.8*2.1</f>
        <v>1.68</v>
      </c>
      <c r="G256" s="189">
        <f t="shared" si="7"/>
        <v>10.92</v>
      </c>
    </row>
    <row r="257" spans="1:7">
      <c r="A257" s="299" t="s">
        <v>1201</v>
      </c>
      <c r="B257" s="222"/>
      <c r="C257" s="300"/>
      <c r="D257" s="190">
        <v>4</v>
      </c>
      <c r="E257" s="190">
        <v>3.15</v>
      </c>
      <c r="F257" s="225"/>
      <c r="G257" s="189">
        <f t="shared" si="7"/>
        <v>12.6</v>
      </c>
    </row>
    <row r="258" spans="1:7">
      <c r="A258" s="299" t="s">
        <v>1202</v>
      </c>
      <c r="B258" s="222"/>
      <c r="C258" s="300"/>
      <c r="D258" s="190">
        <v>1</v>
      </c>
      <c r="E258" s="190">
        <v>3.15</v>
      </c>
      <c r="F258" s="225">
        <v>1.68</v>
      </c>
      <c r="G258" s="189">
        <f t="shared" si="7"/>
        <v>1.47</v>
      </c>
    </row>
    <row r="259" spans="1:7">
      <c r="A259" s="299" t="s">
        <v>1203</v>
      </c>
      <c r="B259" s="222"/>
      <c r="C259" s="300"/>
      <c r="D259" s="190">
        <v>2.85</v>
      </c>
      <c r="E259" s="190">
        <v>3.15</v>
      </c>
      <c r="F259" s="225"/>
      <c r="G259" s="189">
        <f t="shared" si="7"/>
        <v>8.98</v>
      </c>
    </row>
    <row r="260" spans="1:7">
      <c r="A260" s="299" t="s">
        <v>1204</v>
      </c>
      <c r="B260" s="222"/>
      <c r="C260" s="300"/>
      <c r="D260" s="190">
        <v>2.85</v>
      </c>
      <c r="E260" s="190">
        <v>3.15</v>
      </c>
      <c r="F260" s="225"/>
      <c r="G260" s="189">
        <f t="shared" si="7"/>
        <v>8.98</v>
      </c>
    </row>
    <row r="261" spans="1:7">
      <c r="A261" s="286" t="s">
        <v>1205</v>
      </c>
      <c r="B261" s="222"/>
      <c r="C261" s="221"/>
      <c r="D261" s="190">
        <v>3.5</v>
      </c>
      <c r="E261" s="190">
        <v>3.15</v>
      </c>
      <c r="F261" s="189">
        <f>0.9*2.1</f>
        <v>1.89</v>
      </c>
      <c r="G261" s="189">
        <f t="shared" si="7"/>
        <v>9.14</v>
      </c>
    </row>
    <row r="262" spans="1:7">
      <c r="A262" s="286" t="s">
        <v>1206</v>
      </c>
      <c r="B262" s="222"/>
      <c r="C262" s="221"/>
      <c r="D262" s="190">
        <v>1</v>
      </c>
      <c r="E262" s="190">
        <v>3.15</v>
      </c>
      <c r="F262" s="189">
        <f>0.8*2.1</f>
        <v>1.68</v>
      </c>
      <c r="G262" s="189">
        <f t="shared" si="7"/>
        <v>1.47</v>
      </c>
    </row>
    <row r="263" spans="1:7">
      <c r="A263" s="286" t="s">
        <v>1207</v>
      </c>
      <c r="B263" s="222"/>
      <c r="C263" s="221"/>
      <c r="D263" s="190">
        <v>66.425</v>
      </c>
      <c r="E263" s="190">
        <v>1.26</v>
      </c>
      <c r="F263" s="189"/>
      <c r="G263" s="189">
        <f t="shared" si="7"/>
        <v>83.7</v>
      </c>
    </row>
    <row r="264" spans="1:7">
      <c r="A264" s="286" t="s">
        <v>1208</v>
      </c>
      <c r="B264" s="222"/>
      <c r="C264" s="221"/>
      <c r="D264" s="190">
        <f>3.26*2+4.5*2</f>
        <v>15.52</v>
      </c>
      <c r="E264" s="190">
        <f>3-0.35</f>
        <v>2.65</v>
      </c>
      <c r="F264" s="189">
        <v>1.47</v>
      </c>
      <c r="G264" s="189">
        <f t="shared" si="7"/>
        <v>39.66</v>
      </c>
    </row>
    <row r="265" spans="1:7">
      <c r="A265" s="286"/>
      <c r="B265" s="222"/>
      <c r="C265" s="221"/>
      <c r="D265" s="221"/>
      <c r="E265" s="295" t="s">
        <v>779</v>
      </c>
      <c r="F265" s="295"/>
      <c r="G265" s="296">
        <f>SUM(G236:G264)</f>
        <v>564.41</v>
      </c>
    </row>
    <row r="266" spans="1:7">
      <c r="A266" s="286"/>
      <c r="B266" s="222"/>
      <c r="C266" s="221"/>
      <c r="D266" s="221"/>
      <c r="E266" s="221"/>
      <c r="F266" s="222"/>
      <c r="G266" s="222"/>
    </row>
    <row r="267" spans="1:7">
      <c r="A267" s="188" t="s">
        <v>1209</v>
      </c>
      <c r="B267" s="189"/>
      <c r="C267" s="190"/>
      <c r="D267" s="190">
        <v>2.165</v>
      </c>
      <c r="E267" s="190">
        <v>1.8</v>
      </c>
      <c r="F267" s="189">
        <v>1.08</v>
      </c>
      <c r="G267" s="189">
        <f>ROUND(D267*E267-F267,2)</f>
        <v>2.82</v>
      </c>
    </row>
    <row r="268" spans="1:7">
      <c r="A268" s="188" t="s">
        <v>1210</v>
      </c>
      <c r="B268" s="189"/>
      <c r="C268" s="190"/>
      <c r="D268" s="190">
        <f>1.8+1.3</f>
        <v>3.1</v>
      </c>
      <c r="E268" s="190">
        <v>1.8</v>
      </c>
      <c r="F268" s="189">
        <f>0.6*1.8*2</f>
        <v>2.16</v>
      </c>
      <c r="G268" s="189">
        <f>ROUND(D268*E268-F268,2)</f>
        <v>3.42</v>
      </c>
    </row>
    <row r="269" spans="1:7">
      <c r="A269" s="301"/>
      <c r="B269" s="301"/>
      <c r="C269" s="302"/>
      <c r="D269" s="302"/>
      <c r="E269" s="295" t="s">
        <v>779</v>
      </c>
      <c r="F269" s="295"/>
      <c r="G269" s="296">
        <f>G267+G268</f>
        <v>6.24</v>
      </c>
    </row>
    <row r="270" spans="1:7">
      <c r="A270" s="303"/>
      <c r="B270" s="278"/>
      <c r="C270" s="221" t="s">
        <v>1057</v>
      </c>
      <c r="D270" s="221"/>
      <c r="E270" s="221"/>
      <c r="F270" s="278"/>
      <c r="G270" s="221" t="s">
        <v>779</v>
      </c>
    </row>
    <row r="271" spans="1:7">
      <c r="A271" s="188" t="s">
        <v>1211</v>
      </c>
      <c r="B271" s="280"/>
      <c r="C271" s="190">
        <f>SUM(D264,D236:D262)</f>
        <v>175.415</v>
      </c>
      <c r="D271" s="190"/>
      <c r="E271" s="190"/>
      <c r="F271" s="280"/>
      <c r="G271" s="190">
        <f>C271</f>
        <v>175.415</v>
      </c>
    </row>
    <row r="272" spans="1:7">
      <c r="A272" s="286"/>
      <c r="B272" s="222"/>
      <c r="C272" s="221"/>
      <c r="D272" s="221"/>
      <c r="E272" s="295" t="s">
        <v>779</v>
      </c>
      <c r="F272" s="295"/>
      <c r="G272" s="296">
        <f>SUM(G271)</f>
        <v>175.415</v>
      </c>
    </row>
    <row r="273" spans="1:7">
      <c r="A273" s="295"/>
      <c r="B273" s="295"/>
      <c r="C273" s="295"/>
      <c r="D273" s="295"/>
      <c r="E273" s="295"/>
      <c r="F273" s="295"/>
      <c r="G273" s="295"/>
    </row>
    <row r="274" spans="1:7">
      <c r="A274" s="277"/>
      <c r="B274" s="277"/>
      <c r="C274" s="297"/>
      <c r="D274" s="297"/>
      <c r="E274" s="297"/>
      <c r="F274" s="277"/>
      <c r="G274" s="277"/>
    </row>
    <row r="275" spans="1:7">
      <c r="A275" s="277"/>
      <c r="B275" s="277"/>
      <c r="C275" s="297"/>
      <c r="D275" s="297"/>
      <c r="E275" s="297"/>
      <c r="F275" s="277"/>
      <c r="G275" s="277"/>
    </row>
    <row r="276" spans="1:7">
      <c r="A276" s="181" t="s">
        <v>1212</v>
      </c>
      <c r="B276" s="182"/>
      <c r="C276" s="182"/>
      <c r="D276" s="182"/>
      <c r="E276" s="182"/>
      <c r="F276" s="182"/>
      <c r="G276" s="183"/>
    </row>
    <row r="277" spans="1:7">
      <c r="A277" s="181" t="s">
        <v>1213</v>
      </c>
      <c r="B277" s="182"/>
      <c r="C277" s="304"/>
      <c r="D277" s="304"/>
      <c r="E277" s="304"/>
      <c r="F277" s="182"/>
      <c r="G277" s="183"/>
    </row>
    <row r="278" spans="1:7">
      <c r="A278" s="184" t="s">
        <v>1026</v>
      </c>
      <c r="B278" s="185" t="s">
        <v>1214</v>
      </c>
      <c r="C278" s="186" t="s">
        <v>1033</v>
      </c>
      <c r="D278" s="305" t="s">
        <v>1215</v>
      </c>
      <c r="E278" s="306"/>
      <c r="F278" s="185" t="s">
        <v>1216</v>
      </c>
      <c r="G278" s="187" t="s">
        <v>1073</v>
      </c>
    </row>
    <row r="279" ht="21" spans="1:7">
      <c r="A279" s="197" t="s">
        <v>1217</v>
      </c>
      <c r="B279" s="222"/>
      <c r="C279" s="221"/>
      <c r="D279" s="233" t="s">
        <v>1218</v>
      </c>
      <c r="E279" s="233" t="s">
        <v>1219</v>
      </c>
      <c r="F279" s="222"/>
      <c r="G279" s="222"/>
    </row>
    <row r="280" spans="1:7">
      <c r="A280" s="188" t="s">
        <v>1062</v>
      </c>
      <c r="B280" s="189">
        <v>10</v>
      </c>
      <c r="C280" s="190">
        <v>3.5</v>
      </c>
      <c r="D280" s="190">
        <f>2.1*2</f>
        <v>4.2</v>
      </c>
      <c r="E280" s="190"/>
      <c r="F280" s="189">
        <v>1</v>
      </c>
      <c r="G280" s="189">
        <f>ROUND(B280*C280-D280-E280*B280,2)*F280</f>
        <v>30.8</v>
      </c>
    </row>
    <row r="281" spans="1:7">
      <c r="A281" s="188" t="s">
        <v>1063</v>
      </c>
      <c r="B281" s="189">
        <v>20.28</v>
      </c>
      <c r="C281" s="190">
        <v>3.5</v>
      </c>
      <c r="D281" s="190">
        <f>1*0.3*4+2*1.15*2+1*0.6*2+0.8*2.1</f>
        <v>8.68</v>
      </c>
      <c r="E281" s="190"/>
      <c r="F281" s="189">
        <v>1</v>
      </c>
      <c r="G281" s="189">
        <f t="shared" ref="G281:G283" si="8">ROUND(B281*C281-D281-E281*B281,2)*F281</f>
        <v>62.3</v>
      </c>
    </row>
    <row r="282" spans="1:7">
      <c r="A282" s="188" t="s">
        <v>1065</v>
      </c>
      <c r="B282" s="189">
        <v>8.28</v>
      </c>
      <c r="C282" s="190">
        <v>3.5</v>
      </c>
      <c r="D282" s="190">
        <v>1.725</v>
      </c>
      <c r="E282" s="190"/>
      <c r="F282" s="189">
        <v>1</v>
      </c>
      <c r="G282" s="189">
        <f t="shared" si="8"/>
        <v>27.26</v>
      </c>
    </row>
    <row r="283" spans="1:7">
      <c r="A283" s="188" t="s">
        <v>1066</v>
      </c>
      <c r="B283" s="189">
        <v>22.45</v>
      </c>
      <c r="C283" s="190">
        <v>3.5</v>
      </c>
      <c r="D283" s="190">
        <f>5*2*1.15+1*0.3+1.6*2.1+1.5*1.15</f>
        <v>16.885</v>
      </c>
      <c r="E283" s="190"/>
      <c r="F283" s="189">
        <v>1</v>
      </c>
      <c r="G283" s="189">
        <f t="shared" si="8"/>
        <v>61.69</v>
      </c>
    </row>
    <row r="284" spans="1:7">
      <c r="A284" s="307" t="s">
        <v>1220</v>
      </c>
      <c r="B284" s="189">
        <f>9.1+12+23.45+12+9.875</f>
        <v>66.425</v>
      </c>
      <c r="C284" s="196">
        <v>1.26</v>
      </c>
      <c r="D284" s="196"/>
      <c r="E284" s="196"/>
      <c r="F284" s="189">
        <v>2</v>
      </c>
      <c r="G284" s="189">
        <f t="shared" ref="G284:G285" si="9">ROUND(B284*C284-D284,2)*F284</f>
        <v>167.4</v>
      </c>
    </row>
    <row r="285" spans="1:7">
      <c r="A285" s="188" t="s">
        <v>1221</v>
      </c>
      <c r="B285" s="189">
        <v>15.53</v>
      </c>
      <c r="C285" s="190">
        <v>3</v>
      </c>
      <c r="D285" s="190">
        <f>0.7*2.1</f>
        <v>1.47</v>
      </c>
      <c r="E285" s="190"/>
      <c r="F285" s="189">
        <v>2</v>
      </c>
      <c r="G285" s="189">
        <f t="shared" si="9"/>
        <v>90.24</v>
      </c>
    </row>
    <row r="286" spans="1:7">
      <c r="A286" s="188"/>
      <c r="B286" s="189"/>
      <c r="C286" s="190"/>
      <c r="D286" s="190"/>
      <c r="E286" s="295" t="s">
        <v>779</v>
      </c>
      <c r="F286" s="295"/>
      <c r="G286" s="296">
        <f>SUM(G280:G285)</f>
        <v>439.69</v>
      </c>
    </row>
    <row r="287" spans="1:7">
      <c r="A287" s="197" t="s">
        <v>1222</v>
      </c>
      <c r="B287" s="189"/>
      <c r="C287" s="190"/>
      <c r="D287" s="190"/>
      <c r="E287" s="190"/>
      <c r="F287" s="189"/>
      <c r="G287" s="189"/>
    </row>
    <row r="288" spans="1:7">
      <c r="A288" s="188" t="s">
        <v>1062</v>
      </c>
      <c r="B288" s="189">
        <f>5.55+4</f>
        <v>9.55</v>
      </c>
      <c r="C288" s="190">
        <v>3.15</v>
      </c>
      <c r="D288" s="190">
        <f>2.1*2</f>
        <v>4.2</v>
      </c>
      <c r="E288" s="190"/>
      <c r="F288" s="189">
        <v>1</v>
      </c>
      <c r="G288" s="189">
        <f>ROUND(B288*C288-D288-E288,2)*F288</f>
        <v>25.88</v>
      </c>
    </row>
    <row r="289" spans="1:7">
      <c r="A289" s="188" t="s">
        <v>1063</v>
      </c>
      <c r="B289" s="189">
        <f>1.8+1.55+1.8+3.5+1.3+2.75+1.725+1.725+1.4+1.23</f>
        <v>18.78</v>
      </c>
      <c r="C289" s="190">
        <v>3.15</v>
      </c>
      <c r="D289" s="190">
        <v>8.68</v>
      </c>
      <c r="E289" s="190"/>
      <c r="F289" s="189">
        <v>1</v>
      </c>
      <c r="G289" s="189">
        <f>ROUND(B289*C289-D289-E289,2)*F289</f>
        <v>50.48</v>
      </c>
    </row>
    <row r="290" spans="1:7">
      <c r="A290" s="188" t="s">
        <v>1065</v>
      </c>
      <c r="B290" s="189">
        <f>3.825+4</f>
        <v>7.825</v>
      </c>
      <c r="C290" s="190">
        <v>3.15</v>
      </c>
      <c r="D290" s="190">
        <f>1.5*1.15</f>
        <v>1.725</v>
      </c>
      <c r="E290" s="190"/>
      <c r="F290" s="189">
        <v>1</v>
      </c>
      <c r="G290" s="189">
        <f>ROUND(B290*C290-D290-E290,2)</f>
        <v>22.92</v>
      </c>
    </row>
    <row r="291" spans="1:7">
      <c r="A291" s="188" t="s">
        <v>1066</v>
      </c>
      <c r="B291" s="189">
        <f>6.3+3.5+1.3+2.74+8</f>
        <v>21.84</v>
      </c>
      <c r="C291" s="190">
        <v>3.15</v>
      </c>
      <c r="D291" s="190">
        <v>16.885</v>
      </c>
      <c r="E291" s="190"/>
      <c r="F291" s="189">
        <v>1</v>
      </c>
      <c r="G291" s="189">
        <f>ROUND(B291*C291-D291-E291,2)</f>
        <v>51.91</v>
      </c>
    </row>
    <row r="292" spans="1:7">
      <c r="A292" s="188" t="s">
        <v>1067</v>
      </c>
      <c r="B292" s="189">
        <v>2.175</v>
      </c>
      <c r="C292" s="190">
        <v>3.15</v>
      </c>
      <c r="D292" s="190">
        <v>0</v>
      </c>
      <c r="E292" s="190"/>
      <c r="F292" s="189">
        <v>2</v>
      </c>
      <c r="G292" s="189">
        <f>ROUND(B292*C292-D292,2)*F292-E292</f>
        <v>13.7</v>
      </c>
    </row>
    <row r="293" spans="1:7">
      <c r="A293" s="188" t="s">
        <v>1068</v>
      </c>
      <c r="B293" s="189">
        <v>5.55</v>
      </c>
      <c r="C293" s="190">
        <v>3.15</v>
      </c>
      <c r="D293" s="190">
        <f>0.8*2.1*2</f>
        <v>3.36</v>
      </c>
      <c r="E293" s="190"/>
      <c r="F293" s="189">
        <v>2</v>
      </c>
      <c r="G293" s="189">
        <f>ROUND(B293*C293-D293,2)*F293-E293</f>
        <v>28.24</v>
      </c>
    </row>
    <row r="294" spans="1:7">
      <c r="A294" s="188" t="s">
        <v>1069</v>
      </c>
      <c r="B294" s="189">
        <v>16.85</v>
      </c>
      <c r="C294" s="190">
        <v>3.15</v>
      </c>
      <c r="D294" s="190">
        <f>1.6*2.1+0.8*2.1</f>
        <v>5.04</v>
      </c>
      <c r="E294" s="190"/>
      <c r="F294" s="189">
        <v>2</v>
      </c>
      <c r="G294" s="189">
        <f>ROUND(B294*C294-D294,2)*F294-E294</f>
        <v>96.08</v>
      </c>
    </row>
    <row r="295" spans="1:7">
      <c r="A295" s="188" t="s">
        <v>1070</v>
      </c>
      <c r="B295" s="189">
        <v>4</v>
      </c>
      <c r="C295" s="190">
        <v>3.15</v>
      </c>
      <c r="D295" s="190"/>
      <c r="E295" s="190"/>
      <c r="F295" s="189">
        <v>2</v>
      </c>
      <c r="G295" s="189">
        <f t="shared" ref="G295" si="10">ROUND(B295*C295-D295-E295,2)*F295</f>
        <v>25.2</v>
      </c>
    </row>
    <row r="296" spans="1:7">
      <c r="A296" s="188" t="s">
        <v>1071</v>
      </c>
      <c r="B296" s="189">
        <v>2.11</v>
      </c>
      <c r="C296" s="190">
        <v>3.15</v>
      </c>
      <c r="D296" s="190">
        <f>0.8*2.1</f>
        <v>1.68</v>
      </c>
      <c r="E296" s="190"/>
      <c r="F296" s="189">
        <v>2</v>
      </c>
      <c r="G296" s="189">
        <f>ROUND(B296*C296-D296,2)*F296-E296</f>
        <v>9.94</v>
      </c>
    </row>
    <row r="297" spans="1:7">
      <c r="A297" s="205" t="s">
        <v>1072</v>
      </c>
      <c r="B297" s="189">
        <v>1.3</v>
      </c>
      <c r="C297" s="190">
        <v>3.15</v>
      </c>
      <c r="D297" s="190"/>
      <c r="E297" s="190"/>
      <c r="F297" s="189">
        <v>2</v>
      </c>
      <c r="G297" s="189">
        <v>8.2</v>
      </c>
    </row>
    <row r="298" spans="1:7">
      <c r="A298" s="205" t="s">
        <v>1192</v>
      </c>
      <c r="B298" s="189">
        <v>4</v>
      </c>
      <c r="C298" s="190">
        <v>3.15</v>
      </c>
      <c r="D298" s="190">
        <f>0.8*2.1</f>
        <v>1.68</v>
      </c>
      <c r="E298" s="190"/>
      <c r="F298" s="189">
        <v>2</v>
      </c>
      <c r="G298" s="189">
        <f>ROUND(B298*C298-D298,2)*F298-E298</f>
        <v>21.84</v>
      </c>
    </row>
    <row r="299" spans="1:7">
      <c r="A299" s="205" t="s">
        <v>1193</v>
      </c>
      <c r="B299" s="189">
        <v>4</v>
      </c>
      <c r="C299" s="190">
        <v>3.15</v>
      </c>
      <c r="D299" s="190"/>
      <c r="E299" s="190"/>
      <c r="F299" s="189">
        <v>2</v>
      </c>
      <c r="G299" s="189">
        <f t="shared" ref="G299" si="11">ROUND(B299*C299-D299-E299,2)*F299</f>
        <v>25.2</v>
      </c>
    </row>
    <row r="300" spans="1:7">
      <c r="A300" s="205" t="s">
        <v>1194</v>
      </c>
      <c r="B300" s="189">
        <v>18.75</v>
      </c>
      <c r="C300" s="190">
        <v>3.15</v>
      </c>
      <c r="D300" s="190">
        <f>0.8*2.1*4+1.8*2.1</f>
        <v>10.5</v>
      </c>
      <c r="E300" s="190"/>
      <c r="F300" s="189">
        <v>2</v>
      </c>
      <c r="G300" s="189">
        <f>ROUND(B300*C300-D300,2)*F300-E300</f>
        <v>97.12</v>
      </c>
    </row>
    <row r="301" spans="1:7">
      <c r="A301" s="205" t="s">
        <v>1195</v>
      </c>
      <c r="B301" s="189">
        <v>4.15</v>
      </c>
      <c r="C301" s="190">
        <v>3.15</v>
      </c>
      <c r="D301" s="190"/>
      <c r="E301" s="190"/>
      <c r="F301" s="189">
        <v>2</v>
      </c>
      <c r="G301" s="189">
        <f>ROUND(B301*C301-D301,2)*F301-E301</f>
        <v>26.14</v>
      </c>
    </row>
    <row r="302" spans="1:7">
      <c r="A302" s="205" t="s">
        <v>1196</v>
      </c>
      <c r="B302" s="189">
        <v>1.4</v>
      </c>
      <c r="C302" s="190">
        <v>3.15</v>
      </c>
      <c r="D302" s="190">
        <v>0.3</v>
      </c>
      <c r="E302" s="190"/>
      <c r="F302" s="189">
        <v>2</v>
      </c>
      <c r="G302" s="189">
        <f>ROUND(B302*C302-D302,2)*F302-E302</f>
        <v>8.22</v>
      </c>
    </row>
    <row r="303" spans="1:7">
      <c r="A303" s="205" t="s">
        <v>1197</v>
      </c>
      <c r="B303" s="189">
        <v>4</v>
      </c>
      <c r="C303" s="190">
        <v>3.15</v>
      </c>
      <c r="D303" s="190">
        <v>0</v>
      </c>
      <c r="E303" s="190"/>
      <c r="F303" s="189">
        <v>2</v>
      </c>
      <c r="G303" s="189">
        <v>25.2</v>
      </c>
    </row>
    <row r="304" spans="1:7">
      <c r="A304" s="205" t="s">
        <v>1198</v>
      </c>
      <c r="B304" s="189">
        <v>4</v>
      </c>
      <c r="C304" s="190">
        <v>3.15</v>
      </c>
      <c r="D304" s="190"/>
      <c r="E304" s="190"/>
      <c r="F304" s="189">
        <v>2</v>
      </c>
      <c r="G304" s="189">
        <f t="shared" ref="G304:G305" si="12">ROUND(B304*C304-D304,2)*F304</f>
        <v>25.2</v>
      </c>
    </row>
    <row r="305" spans="1:7">
      <c r="A305" s="205" t="s">
        <v>1199</v>
      </c>
      <c r="B305" s="189">
        <v>4</v>
      </c>
      <c r="C305" s="190">
        <v>3.15</v>
      </c>
      <c r="D305" s="190"/>
      <c r="E305" s="190"/>
      <c r="F305" s="189">
        <v>2</v>
      </c>
      <c r="G305" s="189">
        <f t="shared" si="12"/>
        <v>25.2</v>
      </c>
    </row>
    <row r="306" spans="1:7">
      <c r="A306" s="205" t="s">
        <v>1133</v>
      </c>
      <c r="B306" s="189">
        <v>2.11</v>
      </c>
      <c r="C306" s="190">
        <v>3.15</v>
      </c>
      <c r="D306" s="190">
        <f>0.8*2.1</f>
        <v>1.68</v>
      </c>
      <c r="E306" s="190"/>
      <c r="F306" s="189">
        <v>2</v>
      </c>
      <c r="G306" s="189">
        <f t="shared" ref="G306:G314" si="13">ROUND(B306*C306-D306,2)*F306-E306</f>
        <v>9.94</v>
      </c>
    </row>
    <row r="307" spans="1:7">
      <c r="A307" s="205" t="s">
        <v>1200</v>
      </c>
      <c r="B307" s="189">
        <v>1.3</v>
      </c>
      <c r="C307" s="190">
        <v>3.15</v>
      </c>
      <c r="D307" s="190">
        <v>0</v>
      </c>
      <c r="E307" s="190"/>
      <c r="F307" s="189">
        <v>2</v>
      </c>
      <c r="G307" s="189">
        <f t="shared" si="13"/>
        <v>8.2</v>
      </c>
    </row>
    <row r="308" spans="1:7">
      <c r="A308" s="205" t="s">
        <v>1064</v>
      </c>
      <c r="B308" s="189">
        <v>4</v>
      </c>
      <c r="C308" s="190">
        <v>3.15</v>
      </c>
      <c r="D308" s="190">
        <v>1.68</v>
      </c>
      <c r="E308" s="190"/>
      <c r="F308" s="189">
        <v>2</v>
      </c>
      <c r="G308" s="189">
        <f t="shared" si="13"/>
        <v>21.84</v>
      </c>
    </row>
    <row r="309" spans="1:7">
      <c r="A309" s="205" t="s">
        <v>1201</v>
      </c>
      <c r="B309" s="189">
        <v>4</v>
      </c>
      <c r="C309" s="190">
        <v>3.15</v>
      </c>
      <c r="D309" s="190"/>
      <c r="E309" s="190"/>
      <c r="F309" s="189">
        <v>2</v>
      </c>
      <c r="G309" s="189">
        <f t="shared" si="13"/>
        <v>25.2</v>
      </c>
    </row>
    <row r="310" spans="1:7">
      <c r="A310" s="205" t="s">
        <v>1202</v>
      </c>
      <c r="B310" s="189">
        <v>1</v>
      </c>
      <c r="C310" s="190">
        <v>3.15</v>
      </c>
      <c r="D310" s="190">
        <f>0.8*2.1</f>
        <v>1.68</v>
      </c>
      <c r="E310" s="190"/>
      <c r="F310" s="189">
        <v>2</v>
      </c>
      <c r="G310" s="189">
        <f t="shared" si="13"/>
        <v>2.94</v>
      </c>
    </row>
    <row r="311" spans="1:7">
      <c r="A311" s="205" t="s">
        <v>1203</v>
      </c>
      <c r="B311" s="189">
        <v>2.85</v>
      </c>
      <c r="C311" s="190">
        <v>3.15</v>
      </c>
      <c r="D311" s="190"/>
      <c r="E311" s="190"/>
      <c r="F311" s="189">
        <v>2</v>
      </c>
      <c r="G311" s="189">
        <f t="shared" si="13"/>
        <v>17.96</v>
      </c>
    </row>
    <row r="312" spans="1:7">
      <c r="A312" s="205" t="s">
        <v>1204</v>
      </c>
      <c r="B312" s="189">
        <v>2.85</v>
      </c>
      <c r="C312" s="190">
        <v>3.15</v>
      </c>
      <c r="D312" s="190"/>
      <c r="E312" s="190"/>
      <c r="F312" s="189">
        <v>2</v>
      </c>
      <c r="G312" s="189">
        <f t="shared" si="13"/>
        <v>17.96</v>
      </c>
    </row>
    <row r="313" spans="1:7">
      <c r="A313" s="205" t="s">
        <v>1205</v>
      </c>
      <c r="B313" s="189">
        <v>3.5</v>
      </c>
      <c r="C313" s="190">
        <v>3.15</v>
      </c>
      <c r="D313" s="190">
        <f>0.9*2.1</f>
        <v>1.89</v>
      </c>
      <c r="E313" s="190"/>
      <c r="F313" s="189">
        <v>2</v>
      </c>
      <c r="G313" s="189">
        <f t="shared" si="13"/>
        <v>18.28</v>
      </c>
    </row>
    <row r="314" spans="1:7">
      <c r="A314" s="205" t="s">
        <v>1206</v>
      </c>
      <c r="B314" s="189">
        <v>1</v>
      </c>
      <c r="C314" s="190">
        <v>3.15</v>
      </c>
      <c r="D314" s="190">
        <f>0.8*2.1</f>
        <v>1.68</v>
      </c>
      <c r="E314" s="190"/>
      <c r="F314" s="189">
        <v>2</v>
      </c>
      <c r="G314" s="189">
        <f t="shared" si="13"/>
        <v>2.94</v>
      </c>
    </row>
    <row r="315" spans="1:7">
      <c r="A315" s="188" t="s">
        <v>1223</v>
      </c>
      <c r="B315" s="189"/>
      <c r="C315" s="190"/>
      <c r="D315" s="190"/>
      <c r="E315" s="190"/>
      <c r="F315" s="189"/>
      <c r="G315" s="189">
        <v>57.5</v>
      </c>
    </row>
    <row r="316" spans="1:7">
      <c r="A316" s="209"/>
      <c r="B316" s="210"/>
      <c r="C316" s="210"/>
      <c r="D316" s="211"/>
      <c r="E316" s="212" t="s">
        <v>779</v>
      </c>
      <c r="F316" s="213"/>
      <c r="G316" s="214">
        <f>SUM(G288:G315)</f>
        <v>769.43</v>
      </c>
    </row>
    <row r="317" spans="1:7">
      <c r="A317" s="299"/>
      <c r="B317" s="308"/>
      <c r="C317" s="309"/>
      <c r="D317" s="190"/>
      <c r="E317" s="190"/>
      <c r="F317" s="280"/>
      <c r="G317" s="189"/>
    </row>
    <row r="318" spans="1:7">
      <c r="A318" s="181" t="s">
        <v>1224</v>
      </c>
      <c r="B318" s="182"/>
      <c r="C318" s="304"/>
      <c r="D318" s="304"/>
      <c r="E318" s="304"/>
      <c r="F318" s="182"/>
      <c r="G318" s="183"/>
    </row>
    <row r="319" ht="22.5" spans="1:7">
      <c r="A319" s="299" t="s">
        <v>1225</v>
      </c>
      <c r="B319" s="308"/>
      <c r="C319" s="309"/>
      <c r="D319" s="190"/>
      <c r="E319" s="190"/>
      <c r="F319" s="280"/>
      <c r="G319" s="189">
        <f>G316+G286</f>
        <v>1209.12</v>
      </c>
    </row>
    <row r="320" spans="1:7">
      <c r="A320" s="299"/>
      <c r="B320" s="308"/>
      <c r="C320" s="309"/>
      <c r="D320" s="190"/>
      <c r="E320" s="212" t="s">
        <v>779</v>
      </c>
      <c r="F320" s="213"/>
      <c r="G320" s="214">
        <f>SUM(G319)</f>
        <v>1209.12</v>
      </c>
    </row>
    <row r="321" spans="1:7">
      <c r="A321" s="299"/>
      <c r="B321" s="308"/>
      <c r="C321" s="300"/>
      <c r="D321" s="221"/>
      <c r="E321" s="221"/>
      <c r="F321" s="222"/>
      <c r="G321" s="222"/>
    </row>
    <row r="322" spans="1:7">
      <c r="A322" s="299"/>
      <c r="B322" s="308"/>
      <c r="C322" s="300"/>
      <c r="D322" s="221"/>
      <c r="E322" s="221"/>
      <c r="F322" s="222"/>
      <c r="G322" s="222"/>
    </row>
    <row r="323" ht="21" spans="1:7">
      <c r="A323" s="288" t="s">
        <v>1226</v>
      </c>
      <c r="B323" s="289"/>
      <c r="C323" s="290"/>
      <c r="D323" s="291" t="s">
        <v>1189</v>
      </c>
      <c r="E323" s="291" t="s">
        <v>1190</v>
      </c>
      <c r="F323" s="292" t="s">
        <v>1227</v>
      </c>
      <c r="G323" s="293" t="s">
        <v>779</v>
      </c>
    </row>
    <row r="324" spans="1:7">
      <c r="A324" s="310" t="s">
        <v>1164</v>
      </c>
      <c r="B324" s="189"/>
      <c r="C324" s="190"/>
      <c r="D324" s="190">
        <f>2.17*2+3.8*2</f>
        <v>11.94</v>
      </c>
      <c r="E324" s="190">
        <v>1.8</v>
      </c>
      <c r="F324" s="310">
        <f>0.8*1.8+1.5*(1.8-1)</f>
        <v>2.64</v>
      </c>
      <c r="G324" s="189">
        <f>ROUND(D324*E324,2)-F324</f>
        <v>18.85</v>
      </c>
    </row>
    <row r="325" spans="1:7">
      <c r="A325" s="310" t="s">
        <v>1167</v>
      </c>
      <c r="B325" s="189"/>
      <c r="C325" s="190"/>
      <c r="D325" s="190">
        <v>6.5</v>
      </c>
      <c r="E325" s="190">
        <v>1.8</v>
      </c>
      <c r="F325" s="310">
        <f t="shared" ref="F325:F330" si="14">0.8*1.8</f>
        <v>1.44</v>
      </c>
      <c r="G325" s="189">
        <f t="shared" ref="G325:G331" si="15">ROUND(D325*E325,2)-F325</f>
        <v>10.26</v>
      </c>
    </row>
    <row r="326" spans="1:7">
      <c r="A326" s="310" t="s">
        <v>1228</v>
      </c>
      <c r="B326" s="189"/>
      <c r="C326" s="190"/>
      <c r="D326" s="190">
        <v>6.8</v>
      </c>
      <c r="E326" s="190">
        <v>1.8</v>
      </c>
      <c r="F326" s="310">
        <f t="shared" si="14"/>
        <v>1.44</v>
      </c>
      <c r="G326" s="189">
        <f t="shared" si="15"/>
        <v>10.8</v>
      </c>
    </row>
    <row r="327" spans="1:7">
      <c r="A327" s="310" t="s">
        <v>1229</v>
      </c>
      <c r="B327" s="189"/>
      <c r="C327" s="190"/>
      <c r="D327" s="190">
        <v>6.53</v>
      </c>
      <c r="E327" s="190">
        <v>1.8</v>
      </c>
      <c r="F327" s="310">
        <f t="shared" si="14"/>
        <v>1.44</v>
      </c>
      <c r="G327" s="189">
        <f t="shared" si="15"/>
        <v>10.31</v>
      </c>
    </row>
    <row r="328" spans="1:7">
      <c r="A328" s="310" t="s">
        <v>1230</v>
      </c>
      <c r="B328" s="189"/>
      <c r="C328" s="190"/>
      <c r="D328" s="190">
        <f>0.95+1.15+4+1.8+0.85+2.85</f>
        <v>11.6</v>
      </c>
      <c r="E328" s="190">
        <v>1.8</v>
      </c>
      <c r="F328" s="310">
        <f t="shared" si="14"/>
        <v>1.44</v>
      </c>
      <c r="G328" s="189">
        <f t="shared" si="15"/>
        <v>19.44</v>
      </c>
    </row>
    <row r="329" spans="1:7">
      <c r="A329" s="310" t="s">
        <v>1231</v>
      </c>
      <c r="B329" s="189"/>
      <c r="C329" s="190"/>
      <c r="D329" s="190">
        <f>2.85+0.8+1+1.15+1.8+4</f>
        <v>11.6</v>
      </c>
      <c r="E329" s="190">
        <v>1.8</v>
      </c>
      <c r="F329" s="310">
        <f t="shared" si="14"/>
        <v>1.44</v>
      </c>
      <c r="G329" s="189">
        <f t="shared" si="15"/>
        <v>19.44</v>
      </c>
    </row>
    <row r="330" spans="1:7">
      <c r="A330" s="310" t="s">
        <v>1232</v>
      </c>
      <c r="B330" s="189"/>
      <c r="C330" s="190"/>
      <c r="D330" s="190">
        <v>6.52</v>
      </c>
      <c r="E330" s="190">
        <v>1.8</v>
      </c>
      <c r="F330" s="310">
        <f t="shared" si="14"/>
        <v>1.44</v>
      </c>
      <c r="G330" s="189">
        <f t="shared" si="15"/>
        <v>10.3</v>
      </c>
    </row>
    <row r="331" spans="1:7">
      <c r="A331" s="310" t="s">
        <v>1174</v>
      </c>
      <c r="B331" s="189"/>
      <c r="C331" s="190"/>
      <c r="D331" s="190">
        <f>1.55*2+2.85*2</f>
        <v>8.8</v>
      </c>
      <c r="E331" s="190">
        <v>1.8</v>
      </c>
      <c r="F331" s="310">
        <f>0.9*1.8</f>
        <v>1.62</v>
      </c>
      <c r="G331" s="189">
        <f t="shared" si="15"/>
        <v>14.22</v>
      </c>
    </row>
    <row r="332" spans="1:7">
      <c r="A332" s="286"/>
      <c r="B332" s="277"/>
      <c r="C332" s="221"/>
      <c r="D332" s="221"/>
      <c r="E332" s="212" t="s">
        <v>779</v>
      </c>
      <c r="F332" s="213"/>
      <c r="G332" s="214">
        <f>SUM(G324:G331)</f>
        <v>113.62</v>
      </c>
    </row>
    <row r="333" spans="1:7">
      <c r="A333" s="277"/>
      <c r="B333" s="277"/>
      <c r="C333" s="297"/>
      <c r="D333" s="297"/>
      <c r="E333" s="297"/>
      <c r="F333" s="277"/>
      <c r="G333" s="277"/>
    </row>
    <row r="334" ht="18.75" customHeight="1" spans="1:7">
      <c r="A334" s="288" t="s">
        <v>1233</v>
      </c>
      <c r="B334" s="289"/>
      <c r="C334" s="290"/>
      <c r="D334" s="291" t="s">
        <v>1189</v>
      </c>
      <c r="E334" s="291" t="s">
        <v>1190</v>
      </c>
      <c r="F334" s="292" t="s">
        <v>1227</v>
      </c>
      <c r="G334" s="293" t="s">
        <v>779</v>
      </c>
    </row>
    <row r="335" spans="1:7">
      <c r="A335" s="279" t="s">
        <v>1234</v>
      </c>
      <c r="B335" s="279"/>
      <c r="C335" s="311"/>
      <c r="D335" s="311">
        <v>10</v>
      </c>
      <c r="E335" s="311">
        <v>1</v>
      </c>
      <c r="F335" s="279">
        <f>2*1</f>
        <v>2</v>
      </c>
      <c r="G335" s="312">
        <f>D335*E335-F335</f>
        <v>8</v>
      </c>
    </row>
    <row r="336" spans="1:7">
      <c r="A336" s="279" t="s">
        <v>1235</v>
      </c>
      <c r="B336" s="279"/>
      <c r="C336" s="311"/>
      <c r="D336" s="311">
        <v>22.75</v>
      </c>
      <c r="E336" s="311">
        <v>1</v>
      </c>
      <c r="F336" s="279">
        <f>1.6*1</f>
        <v>1.6</v>
      </c>
      <c r="G336" s="312">
        <f>D336*E336-F336</f>
        <v>21.15</v>
      </c>
    </row>
    <row r="337" spans="1:7">
      <c r="A337" s="279" t="s">
        <v>1236</v>
      </c>
      <c r="B337" s="279"/>
      <c r="C337" s="311"/>
      <c r="D337" s="311">
        <v>20.425</v>
      </c>
      <c r="E337" s="311">
        <v>1</v>
      </c>
      <c r="F337" s="279">
        <f>0.8*1</f>
        <v>0.8</v>
      </c>
      <c r="G337" s="312">
        <f>D337*E337-F337*1</f>
        <v>19.625</v>
      </c>
    </row>
    <row r="338" spans="1:7">
      <c r="A338" s="279" t="s">
        <v>1237</v>
      </c>
      <c r="B338" s="279"/>
      <c r="C338" s="311"/>
      <c r="D338" s="311">
        <v>8.275</v>
      </c>
      <c r="E338" s="311">
        <v>1</v>
      </c>
      <c r="F338" s="279"/>
      <c r="G338" s="312">
        <f>D338*E338</f>
        <v>8.275</v>
      </c>
    </row>
    <row r="339" spans="1:7">
      <c r="A339" s="277"/>
      <c r="B339" s="277"/>
      <c r="C339" s="297"/>
      <c r="D339" s="297"/>
      <c r="E339" s="212" t="s">
        <v>779</v>
      </c>
      <c r="F339" s="213"/>
      <c r="G339" s="214">
        <f>SUM(G335:G338)</f>
        <v>57.05</v>
      </c>
    </row>
    <row r="340" spans="1:7">
      <c r="A340" s="313"/>
      <c r="B340" s="282"/>
      <c r="C340" s="314"/>
      <c r="D340" s="314"/>
      <c r="E340" s="314"/>
      <c r="F340" s="282"/>
      <c r="G340" s="315"/>
    </row>
    <row r="341" spans="1:7">
      <c r="A341" s="181" t="s">
        <v>1238</v>
      </c>
      <c r="B341" s="182"/>
      <c r="C341" s="182"/>
      <c r="D341" s="182"/>
      <c r="E341" s="182"/>
      <c r="F341" s="182"/>
      <c r="G341" s="183"/>
    </row>
    <row r="342" spans="1:7">
      <c r="A342" s="184" t="s">
        <v>1026</v>
      </c>
      <c r="B342" s="185" t="s">
        <v>1214</v>
      </c>
      <c r="C342" s="186" t="s">
        <v>1033</v>
      </c>
      <c r="D342" s="305" t="s">
        <v>1215</v>
      </c>
      <c r="E342" s="306"/>
      <c r="F342" s="185" t="s">
        <v>1216</v>
      </c>
      <c r="G342" s="187" t="s">
        <v>1073</v>
      </c>
    </row>
    <row r="343" ht="21" spans="1:7">
      <c r="A343" s="197" t="s">
        <v>1217</v>
      </c>
      <c r="B343" s="222"/>
      <c r="C343" s="221"/>
      <c r="D343" s="233" t="s">
        <v>1218</v>
      </c>
      <c r="E343" s="233" t="s">
        <v>1219</v>
      </c>
      <c r="F343" s="222"/>
      <c r="G343" s="222"/>
    </row>
    <row r="344" spans="1:7">
      <c r="A344" s="188" t="s">
        <v>1062</v>
      </c>
      <c r="B344" s="189">
        <v>10</v>
      </c>
      <c r="C344" s="190">
        <v>3.5</v>
      </c>
      <c r="D344" s="190">
        <f>2.1*2</f>
        <v>4.2</v>
      </c>
      <c r="E344" s="190">
        <v>1</v>
      </c>
      <c r="F344" s="189">
        <v>1</v>
      </c>
      <c r="G344" s="189">
        <f>ROUND(B344*C344-D344-E344*B344,2)*F344</f>
        <v>20.8</v>
      </c>
    </row>
    <row r="345" spans="1:7">
      <c r="A345" s="188" t="s">
        <v>1063</v>
      </c>
      <c r="B345" s="189">
        <v>20.28</v>
      </c>
      <c r="C345" s="190">
        <v>3.5</v>
      </c>
      <c r="D345" s="190">
        <v>8.68</v>
      </c>
      <c r="E345" s="190">
        <v>1</v>
      </c>
      <c r="F345" s="189">
        <v>1</v>
      </c>
      <c r="G345" s="189">
        <f t="shared" ref="G345:G347" si="16">ROUND(B345*C345-D345-E345*B345,2)*F345</f>
        <v>42.02</v>
      </c>
    </row>
    <row r="346" ht="15.75" customHeight="1" spans="1:7">
      <c r="A346" s="188" t="s">
        <v>1065</v>
      </c>
      <c r="B346" s="189">
        <v>8.28</v>
      </c>
      <c r="C346" s="190">
        <v>3.5</v>
      </c>
      <c r="D346" s="190">
        <f>1.5*1.15</f>
        <v>1.725</v>
      </c>
      <c r="E346" s="190">
        <v>1</v>
      </c>
      <c r="F346" s="189">
        <v>1</v>
      </c>
      <c r="G346" s="189">
        <f t="shared" si="16"/>
        <v>18.98</v>
      </c>
    </row>
    <row r="347" spans="1:7">
      <c r="A347" s="188" t="s">
        <v>1066</v>
      </c>
      <c r="B347" s="189">
        <v>22.45</v>
      </c>
      <c r="C347" s="190">
        <v>3.5</v>
      </c>
      <c r="D347" s="190">
        <f>5*2*1.15+1*0.3+1.6*2.1+1.5*1.15</f>
        <v>16.885</v>
      </c>
      <c r="E347" s="190">
        <v>1</v>
      </c>
      <c r="F347" s="189">
        <v>1</v>
      </c>
      <c r="G347" s="189">
        <f t="shared" si="16"/>
        <v>39.24</v>
      </c>
    </row>
    <row r="348" spans="1:7">
      <c r="A348" s="197" t="s">
        <v>1222</v>
      </c>
      <c r="B348" s="189"/>
      <c r="C348" s="190"/>
      <c r="D348" s="190"/>
      <c r="E348" s="190"/>
      <c r="F348" s="189"/>
      <c r="G348" s="189"/>
    </row>
    <row r="349" spans="1:7">
      <c r="A349" s="188" t="s">
        <v>1062</v>
      </c>
      <c r="B349" s="189">
        <f>5.55+4</f>
        <v>9.55</v>
      </c>
      <c r="C349" s="190">
        <v>3.15</v>
      </c>
      <c r="D349" s="190">
        <f>2.1*2</f>
        <v>4.2</v>
      </c>
      <c r="E349" s="190">
        <v>7.2</v>
      </c>
      <c r="F349" s="189">
        <v>1</v>
      </c>
      <c r="G349" s="189">
        <f>ROUND(B349*C349-D349-E349,2)*F349</f>
        <v>18.68</v>
      </c>
    </row>
    <row r="350" spans="1:7">
      <c r="A350" s="188" t="s">
        <v>1063</v>
      </c>
      <c r="B350" s="189">
        <f>1.8+1.55+1.8+3.5+1.3+2.75+1.725+1.725+1.4+1.23</f>
        <v>18.78</v>
      </c>
      <c r="C350" s="190">
        <v>3.15</v>
      </c>
      <c r="D350" s="190">
        <f>1*0.3*4+2*1.15*2+1*0.6*2+0.8*2.1</f>
        <v>8.68</v>
      </c>
      <c r="E350" s="190">
        <f>1.8*1.8*2+1.8*1.55+1.3*1.8</f>
        <v>11.61</v>
      </c>
      <c r="F350" s="189">
        <v>1</v>
      </c>
      <c r="G350" s="189">
        <f>ROUND(B350*C350-D350-E350,2)*F350</f>
        <v>38.87</v>
      </c>
    </row>
    <row r="351" spans="1:7">
      <c r="A351" s="188" t="s">
        <v>1065</v>
      </c>
      <c r="B351" s="189">
        <f>3.825+4</f>
        <v>7.825</v>
      </c>
      <c r="C351" s="190">
        <v>3.15</v>
      </c>
      <c r="D351" s="190">
        <f>1.5*1.15</f>
        <v>1.725</v>
      </c>
      <c r="E351" s="190">
        <f>3.825*1.8</f>
        <v>6.885</v>
      </c>
      <c r="F351" s="189">
        <v>1</v>
      </c>
      <c r="G351" s="189">
        <f>ROUND(B351*C351-D351-E351,2)</f>
        <v>16.04</v>
      </c>
    </row>
    <row r="352" spans="1:7">
      <c r="A352" s="188" t="s">
        <v>1066</v>
      </c>
      <c r="B352" s="189">
        <f>6.3+3.5+1.3+2.74+8</f>
        <v>21.84</v>
      </c>
      <c r="C352" s="190">
        <v>3.15</v>
      </c>
      <c r="D352" s="190">
        <f>2*1.15*5+1.5*1.15+1*0.3+1.6*2.1</f>
        <v>16.885</v>
      </c>
      <c r="E352" s="190">
        <f>1.8*1.3</f>
        <v>2.34</v>
      </c>
      <c r="F352" s="189">
        <v>1</v>
      </c>
      <c r="G352" s="189">
        <f>ROUND(B352*C352-D352-E352,2)</f>
        <v>49.57</v>
      </c>
    </row>
    <row r="353" spans="1:7">
      <c r="A353" s="188" t="s">
        <v>1067</v>
      </c>
      <c r="B353" s="189">
        <v>2.175</v>
      </c>
      <c r="C353" s="190">
        <v>3.15</v>
      </c>
      <c r="D353" s="190">
        <v>0</v>
      </c>
      <c r="E353" s="190">
        <f>2.175*1.8</f>
        <v>3.915</v>
      </c>
      <c r="F353" s="189">
        <v>2</v>
      </c>
      <c r="G353" s="189">
        <f>ROUND(B353*C353-D353,2)*F353-E353</f>
        <v>9.785</v>
      </c>
    </row>
    <row r="354" spans="1:7">
      <c r="A354" s="188" t="s">
        <v>1068</v>
      </c>
      <c r="B354" s="189">
        <v>5.55</v>
      </c>
      <c r="C354" s="190">
        <v>3.15</v>
      </c>
      <c r="D354" s="190">
        <f>0.8*2.1*2</f>
        <v>3.36</v>
      </c>
      <c r="E354" s="190">
        <f>3.82*1.8-0.8*1.8</f>
        <v>5.436</v>
      </c>
      <c r="F354" s="189">
        <v>2</v>
      </c>
      <c r="G354" s="189">
        <f>ROUND(B354*C354-D354,2)*F354-E354</f>
        <v>22.804</v>
      </c>
    </row>
    <row r="355" spans="1:7">
      <c r="A355" s="188" t="s">
        <v>1069</v>
      </c>
      <c r="B355" s="189">
        <v>16.85</v>
      </c>
      <c r="C355" s="190">
        <v>3.15</v>
      </c>
      <c r="D355" s="190">
        <f>1.6*2.1+0.8*2.1</f>
        <v>5.04</v>
      </c>
      <c r="E355" s="190">
        <f>2.175*1.8</f>
        <v>3.915</v>
      </c>
      <c r="F355" s="189">
        <v>2</v>
      </c>
      <c r="G355" s="189">
        <f>ROUND(B355*C355-D355,2)*F355-E355</f>
        <v>92.165</v>
      </c>
    </row>
    <row r="356" spans="1:7">
      <c r="A356" s="188" t="s">
        <v>1070</v>
      </c>
      <c r="B356" s="189">
        <v>4</v>
      </c>
      <c r="C356" s="190">
        <v>3.15</v>
      </c>
      <c r="D356" s="190"/>
      <c r="E356" s="190"/>
      <c r="F356" s="189">
        <v>2</v>
      </c>
      <c r="G356" s="189">
        <f t="shared" ref="G356" si="17">ROUND(B356*C356-D356-E356,2)*F356</f>
        <v>25.2</v>
      </c>
    </row>
    <row r="357" spans="1:7">
      <c r="A357" s="188" t="s">
        <v>1071</v>
      </c>
      <c r="B357" s="189">
        <v>2.11</v>
      </c>
      <c r="C357" s="190">
        <v>3.15</v>
      </c>
      <c r="D357" s="190">
        <f>0.8*2.1</f>
        <v>1.68</v>
      </c>
      <c r="E357" s="190">
        <f>1.96*1.8-0.8*1.8</f>
        <v>2.088</v>
      </c>
      <c r="F357" s="189">
        <v>2</v>
      </c>
      <c r="G357" s="189">
        <f>ROUND(B357*C357-D357,2)*F357-E357</f>
        <v>7.852</v>
      </c>
    </row>
    <row r="358" spans="1:7">
      <c r="A358" s="205" t="s">
        <v>1072</v>
      </c>
      <c r="B358" s="189">
        <v>1.3</v>
      </c>
      <c r="C358" s="190">
        <v>3.15</v>
      </c>
      <c r="D358" s="190"/>
      <c r="E358" s="190">
        <v>2.34</v>
      </c>
      <c r="F358" s="189">
        <v>2</v>
      </c>
      <c r="G358" s="189">
        <f>ROUND(B358*C358-D358,2)*F358-E358</f>
        <v>5.86</v>
      </c>
    </row>
    <row r="359" spans="1:7">
      <c r="A359" s="205" t="s">
        <v>1192</v>
      </c>
      <c r="B359" s="189">
        <v>4</v>
      </c>
      <c r="C359" s="190">
        <v>3.15</v>
      </c>
      <c r="D359" s="190">
        <f>0.8*2.1</f>
        <v>1.68</v>
      </c>
      <c r="E359" s="190">
        <f>1.96*1.8</f>
        <v>3.528</v>
      </c>
      <c r="F359" s="189">
        <v>2</v>
      </c>
      <c r="G359" s="189">
        <f>ROUND(B359*C359-D359,2)*F359-E359</f>
        <v>18.312</v>
      </c>
    </row>
    <row r="360" spans="1:7">
      <c r="A360" s="205" t="s">
        <v>1193</v>
      </c>
      <c r="B360" s="189">
        <v>4</v>
      </c>
      <c r="C360" s="190">
        <v>3.15</v>
      </c>
      <c r="D360" s="190"/>
      <c r="E360" s="190"/>
      <c r="F360" s="189">
        <v>2</v>
      </c>
      <c r="G360" s="189">
        <f t="shared" ref="G360" si="18">ROUND(B360*C360-D360-E360,2)*F360</f>
        <v>25.2</v>
      </c>
    </row>
    <row r="361" spans="1:7">
      <c r="A361" s="205" t="s">
        <v>1194</v>
      </c>
      <c r="B361" s="189">
        <v>18.75</v>
      </c>
      <c r="C361" s="190">
        <v>3.15</v>
      </c>
      <c r="D361" s="190">
        <v>10.5</v>
      </c>
      <c r="E361" s="190">
        <f>1.4*1.8-0.8*1.8</f>
        <v>1.08</v>
      </c>
      <c r="F361" s="189">
        <v>2</v>
      </c>
      <c r="G361" s="189">
        <f>ROUND(B361*C361-D361,2)*F361-E361</f>
        <v>96.04</v>
      </c>
    </row>
    <row r="362" spans="1:7">
      <c r="A362" s="205" t="s">
        <v>1195</v>
      </c>
      <c r="B362" s="189">
        <v>4.15</v>
      </c>
      <c r="C362" s="190">
        <v>3.15</v>
      </c>
      <c r="D362" s="190"/>
      <c r="E362" s="190">
        <f>1.85*1.8+2*1.8</f>
        <v>6.93</v>
      </c>
      <c r="F362" s="189">
        <v>2</v>
      </c>
      <c r="G362" s="189">
        <f>ROUND(B362*C362-D362,2)*F362-E362</f>
        <v>19.21</v>
      </c>
    </row>
    <row r="363" spans="1:7">
      <c r="A363" s="205" t="s">
        <v>1196</v>
      </c>
      <c r="B363" s="189">
        <v>1.4</v>
      </c>
      <c r="C363" s="190">
        <v>3.15</v>
      </c>
      <c r="D363" s="190">
        <f>1*0.3</f>
        <v>0.3</v>
      </c>
      <c r="E363" s="190">
        <f>1.8*1.4*2</f>
        <v>5.04</v>
      </c>
      <c r="F363" s="189">
        <v>2</v>
      </c>
      <c r="G363" s="189">
        <f>ROUND(B363*C363-D363,2)*F363-E363</f>
        <v>3.18</v>
      </c>
    </row>
    <row r="364" spans="1:7">
      <c r="A364" s="205" t="s">
        <v>1197</v>
      </c>
      <c r="B364" s="189">
        <v>4</v>
      </c>
      <c r="C364" s="190">
        <v>3.15</v>
      </c>
      <c r="D364" s="190">
        <v>0</v>
      </c>
      <c r="E364" s="190">
        <f>1.8*1.8+2*1.8</f>
        <v>6.84</v>
      </c>
      <c r="F364" s="189">
        <v>2</v>
      </c>
      <c r="G364" s="189">
        <f>ROUND(B364*C364-D364,2)*F364-E364</f>
        <v>18.36</v>
      </c>
    </row>
    <row r="365" spans="1:7">
      <c r="A365" s="205" t="s">
        <v>1198</v>
      </c>
      <c r="B365" s="189">
        <v>4</v>
      </c>
      <c r="C365" s="190">
        <v>3.15</v>
      </c>
      <c r="D365" s="190"/>
      <c r="E365" s="190"/>
      <c r="F365" s="189">
        <v>2</v>
      </c>
      <c r="G365" s="189">
        <f t="shared" ref="G365:G377" si="19">ROUND(B365*C365-D365,2)*F365</f>
        <v>25.2</v>
      </c>
    </row>
    <row r="366" spans="1:7">
      <c r="A366" s="205" t="s">
        <v>1199</v>
      </c>
      <c r="B366" s="189">
        <v>4</v>
      </c>
      <c r="C366" s="190">
        <v>3.15</v>
      </c>
      <c r="D366" s="190"/>
      <c r="E366" s="190"/>
      <c r="F366" s="189">
        <v>2</v>
      </c>
      <c r="G366" s="189">
        <f t="shared" si="19"/>
        <v>25.2</v>
      </c>
    </row>
    <row r="367" spans="1:7">
      <c r="A367" s="205" t="s">
        <v>1133</v>
      </c>
      <c r="B367" s="189">
        <v>2.11</v>
      </c>
      <c r="C367" s="190">
        <v>3.15</v>
      </c>
      <c r="D367" s="190">
        <f>0.8*2.1</f>
        <v>1.68</v>
      </c>
      <c r="E367" s="190">
        <f>1.965*1.8-0.8*1.8</f>
        <v>2.097</v>
      </c>
      <c r="F367" s="189">
        <v>2</v>
      </c>
      <c r="G367" s="189">
        <f t="shared" ref="G367:G375" si="20">ROUND(B367*C367-D367,2)*F367-E367</f>
        <v>7.843</v>
      </c>
    </row>
    <row r="368" spans="1:7">
      <c r="A368" s="205" t="s">
        <v>1200</v>
      </c>
      <c r="B368" s="189">
        <v>1.3</v>
      </c>
      <c r="C368" s="190">
        <v>3.15</v>
      </c>
      <c r="D368" s="190">
        <v>0</v>
      </c>
      <c r="E368" s="190">
        <f>1.3*1.8</f>
        <v>2.34</v>
      </c>
      <c r="F368" s="189">
        <v>2</v>
      </c>
      <c r="G368" s="189">
        <f t="shared" si="20"/>
        <v>5.86</v>
      </c>
    </row>
    <row r="369" spans="1:7">
      <c r="A369" s="205" t="s">
        <v>1064</v>
      </c>
      <c r="B369" s="189">
        <v>4</v>
      </c>
      <c r="C369" s="190">
        <v>3.15</v>
      </c>
      <c r="D369" s="190">
        <f>0.8*2.1</f>
        <v>1.68</v>
      </c>
      <c r="E369" s="190">
        <f>1.965*1.8</f>
        <v>3.537</v>
      </c>
      <c r="F369" s="189">
        <v>2</v>
      </c>
      <c r="G369" s="189">
        <f t="shared" si="20"/>
        <v>18.303</v>
      </c>
    </row>
    <row r="370" spans="1:7">
      <c r="A370" s="205" t="s">
        <v>1201</v>
      </c>
      <c r="B370" s="189">
        <v>4</v>
      </c>
      <c r="C370" s="190">
        <v>3.15</v>
      </c>
      <c r="D370" s="190"/>
      <c r="E370" s="190">
        <f>4*1.8</f>
        <v>7.2</v>
      </c>
      <c r="F370" s="189">
        <v>2</v>
      </c>
      <c r="G370" s="189">
        <f t="shared" si="20"/>
        <v>18</v>
      </c>
    </row>
    <row r="371" spans="1:7">
      <c r="A371" s="205" t="s">
        <v>1202</v>
      </c>
      <c r="B371" s="189">
        <v>1</v>
      </c>
      <c r="C371" s="190">
        <v>3.15</v>
      </c>
      <c r="D371" s="190">
        <f>0.8*2.1</f>
        <v>1.68</v>
      </c>
      <c r="E371" s="190">
        <f>1*1.8-0.8*1.8</f>
        <v>0.36</v>
      </c>
      <c r="F371" s="189">
        <v>2</v>
      </c>
      <c r="G371" s="189">
        <f t="shared" si="20"/>
        <v>2.58</v>
      </c>
    </row>
    <row r="372" spans="1:7">
      <c r="A372" s="205" t="s">
        <v>1203</v>
      </c>
      <c r="B372" s="189">
        <v>2.85</v>
      </c>
      <c r="C372" s="190">
        <v>3.15</v>
      </c>
      <c r="D372" s="190"/>
      <c r="E372" s="190">
        <f>2.85*2*1.8</f>
        <v>10.26</v>
      </c>
      <c r="F372" s="189">
        <v>2</v>
      </c>
      <c r="G372" s="189">
        <f t="shared" si="20"/>
        <v>7.7</v>
      </c>
    </row>
    <row r="373" spans="1:7">
      <c r="A373" s="205" t="s">
        <v>1204</v>
      </c>
      <c r="B373" s="189">
        <v>2.85</v>
      </c>
      <c r="C373" s="190">
        <v>3.15</v>
      </c>
      <c r="D373" s="190"/>
      <c r="E373" s="190">
        <f>2.85*1.8*2</f>
        <v>10.26</v>
      </c>
      <c r="F373" s="189">
        <v>2</v>
      </c>
      <c r="G373" s="189">
        <f t="shared" si="20"/>
        <v>7.7</v>
      </c>
    </row>
    <row r="374" spans="1:7">
      <c r="A374" s="205" t="s">
        <v>1205</v>
      </c>
      <c r="B374" s="189">
        <v>3.5</v>
      </c>
      <c r="C374" s="190">
        <v>3.15</v>
      </c>
      <c r="D374" s="190">
        <f>0.9*2.1</f>
        <v>1.89</v>
      </c>
      <c r="E374" s="190">
        <f>3.5*1.8-0.9*1.8</f>
        <v>4.68</v>
      </c>
      <c r="F374" s="189">
        <v>2</v>
      </c>
      <c r="G374" s="189">
        <f t="shared" si="20"/>
        <v>13.6</v>
      </c>
    </row>
    <row r="375" spans="1:7">
      <c r="A375" s="205" t="s">
        <v>1206</v>
      </c>
      <c r="B375" s="189">
        <v>1</v>
      </c>
      <c r="C375" s="190">
        <v>3.15</v>
      </c>
      <c r="D375" s="190">
        <v>1.68</v>
      </c>
      <c r="E375" s="190">
        <f>1*1.8-0.8*1.8</f>
        <v>0.36</v>
      </c>
      <c r="F375" s="189">
        <v>2</v>
      </c>
      <c r="G375" s="189">
        <f t="shared" si="20"/>
        <v>2.58</v>
      </c>
    </row>
    <row r="376" spans="1:7">
      <c r="A376" s="307" t="s">
        <v>1220</v>
      </c>
      <c r="B376" s="189">
        <f>9.1+12+23.45+12+9.875</f>
        <v>66.425</v>
      </c>
      <c r="C376" s="196">
        <v>1.26</v>
      </c>
      <c r="D376" s="196"/>
      <c r="E376" s="196"/>
      <c r="F376" s="189">
        <v>2</v>
      </c>
      <c r="G376" s="189">
        <f t="shared" si="19"/>
        <v>167.4</v>
      </c>
    </row>
    <row r="377" spans="1:7">
      <c r="A377" s="188" t="s">
        <v>1221</v>
      </c>
      <c r="B377" s="189">
        <f>3.265*2+4.5*2</f>
        <v>15.53</v>
      </c>
      <c r="C377" s="190">
        <v>3</v>
      </c>
      <c r="D377" s="190">
        <f>0.7*2.1</f>
        <v>1.47</v>
      </c>
      <c r="E377" s="190"/>
      <c r="F377" s="189">
        <v>2</v>
      </c>
      <c r="G377" s="189">
        <f t="shared" si="19"/>
        <v>90.24</v>
      </c>
    </row>
    <row r="378" spans="1:7">
      <c r="A378" s="188" t="s">
        <v>1223</v>
      </c>
      <c r="B378" s="189"/>
      <c r="C378" s="190"/>
      <c r="D378" s="190"/>
      <c r="E378" s="190"/>
      <c r="F378" s="189"/>
      <c r="G378" s="189">
        <v>57.5</v>
      </c>
    </row>
    <row r="379" spans="1:7">
      <c r="A379" s="281"/>
      <c r="B379" s="284"/>
      <c r="C379" s="283"/>
      <c r="D379" s="316"/>
      <c r="E379" s="317"/>
      <c r="F379" s="231"/>
      <c r="G379" s="231"/>
    </row>
    <row r="380" spans="1:7">
      <c r="A380" s="209"/>
      <c r="B380" s="210"/>
      <c r="C380" s="210"/>
      <c r="D380" s="211"/>
      <c r="E380" s="212" t="s">
        <v>779</v>
      </c>
      <c r="F380" s="213"/>
      <c r="G380" s="214">
        <f>SUM(G344:G378)</f>
        <v>1037.874</v>
      </c>
    </row>
    <row r="381" spans="1:7">
      <c r="A381" s="262"/>
      <c r="B381" s="262"/>
      <c r="C381" s="263"/>
      <c r="D381" s="263"/>
      <c r="E381" s="263"/>
      <c r="F381" s="262"/>
      <c r="G381" s="262"/>
    </row>
    <row r="382" spans="1:7">
      <c r="A382" s="181" t="s">
        <v>1239</v>
      </c>
      <c r="B382" s="182"/>
      <c r="C382" s="182"/>
      <c r="D382" s="182"/>
      <c r="E382" s="182"/>
      <c r="F382" s="182"/>
      <c r="G382" s="183"/>
    </row>
    <row r="383" spans="1:10">
      <c r="A383" s="318" t="s">
        <v>1240</v>
      </c>
      <c r="B383" s="292"/>
      <c r="C383" s="291"/>
      <c r="D383" s="291" t="s">
        <v>1241</v>
      </c>
      <c r="E383" s="291" t="s">
        <v>1033</v>
      </c>
      <c r="F383" s="292" t="s">
        <v>8</v>
      </c>
      <c r="G383" s="292" t="s">
        <v>1034</v>
      </c>
      <c r="I383" s="167"/>
      <c r="J383" s="167"/>
    </row>
    <row r="384" spans="1:10">
      <c r="A384" s="319" t="s">
        <v>1062</v>
      </c>
      <c r="B384" s="320"/>
      <c r="C384" s="321"/>
      <c r="D384" s="196"/>
      <c r="E384" s="196">
        <v>2.1</v>
      </c>
      <c r="F384" s="322">
        <v>14</v>
      </c>
      <c r="G384" s="196">
        <v>0.8</v>
      </c>
      <c r="I384" s="167"/>
      <c r="J384" s="167"/>
    </row>
    <row r="385" spans="1:10">
      <c r="A385" s="319" t="s">
        <v>1063</v>
      </c>
      <c r="B385" s="320"/>
      <c r="C385" s="321"/>
      <c r="D385" s="323"/>
      <c r="E385" s="196">
        <v>2.1</v>
      </c>
      <c r="F385" s="322">
        <v>1</v>
      </c>
      <c r="G385" s="196">
        <v>0.9</v>
      </c>
      <c r="I385" s="167"/>
      <c r="J385" s="167"/>
    </row>
    <row r="386" spans="1:10">
      <c r="A386" s="319" t="s">
        <v>1065</v>
      </c>
      <c r="B386" s="320"/>
      <c r="C386" s="321"/>
      <c r="D386" s="323"/>
      <c r="E386" s="196">
        <v>2.1</v>
      </c>
      <c r="F386" s="322">
        <v>2</v>
      </c>
      <c r="G386" s="196">
        <v>1.6</v>
      </c>
      <c r="I386" s="167"/>
      <c r="J386" s="167"/>
    </row>
    <row r="387" spans="1:10">
      <c r="A387" s="319" t="s">
        <v>1066</v>
      </c>
      <c r="B387" s="320"/>
      <c r="C387" s="321"/>
      <c r="D387" s="323"/>
      <c r="E387" s="196">
        <v>2.1</v>
      </c>
      <c r="F387" s="322">
        <v>1</v>
      </c>
      <c r="G387" s="196">
        <v>2</v>
      </c>
      <c r="I387" s="167"/>
      <c r="J387" s="167"/>
    </row>
    <row r="388" spans="1:10">
      <c r="A388" s="319" t="s">
        <v>1067</v>
      </c>
      <c r="B388" s="320"/>
      <c r="C388" s="321"/>
      <c r="D388" s="323">
        <f>E388*F388*G388</f>
        <v>3.24</v>
      </c>
      <c r="E388" s="196">
        <v>1.8</v>
      </c>
      <c r="F388" s="322">
        <v>3</v>
      </c>
      <c r="G388" s="196">
        <v>0.6</v>
      </c>
      <c r="I388" s="167"/>
      <c r="J388" s="167"/>
    </row>
    <row r="389" spans="1:10">
      <c r="A389" s="319" t="s">
        <v>1242</v>
      </c>
      <c r="B389" s="320"/>
      <c r="C389" s="321"/>
      <c r="D389" s="323">
        <f>ROUND(E389*G389,2)*F389</f>
        <v>2.94</v>
      </c>
      <c r="E389" s="323">
        <v>2.1</v>
      </c>
      <c r="F389" s="324">
        <v>2</v>
      </c>
      <c r="G389" s="323">
        <v>0.7</v>
      </c>
      <c r="I389" s="167"/>
      <c r="J389" s="167"/>
    </row>
    <row r="390" spans="1:10">
      <c r="A390" s="325" t="s">
        <v>1243</v>
      </c>
      <c r="B390" s="325"/>
      <c r="C390" s="323"/>
      <c r="D390" s="323"/>
      <c r="E390" s="323">
        <v>2.1</v>
      </c>
      <c r="F390" s="324">
        <v>1</v>
      </c>
      <c r="G390" s="323">
        <v>1.8</v>
      </c>
      <c r="I390" s="167"/>
      <c r="J390" s="167"/>
    </row>
    <row r="391" spans="1:10">
      <c r="A391" s="326"/>
      <c r="B391" s="327"/>
      <c r="C391" s="328"/>
      <c r="D391" s="328"/>
      <c r="E391" s="328"/>
      <c r="F391" s="329"/>
      <c r="G391" s="329"/>
      <c r="I391" s="167"/>
      <c r="J391" s="167"/>
    </row>
    <row r="392" spans="1:10">
      <c r="A392" s="330" t="s">
        <v>1244</v>
      </c>
      <c r="B392" s="193"/>
      <c r="C392" s="194"/>
      <c r="D392" s="194"/>
      <c r="E392" s="194"/>
      <c r="F392" s="193"/>
      <c r="G392" s="331">
        <f>F384*G384+F385*G385+G389*F389</f>
        <v>13.5</v>
      </c>
      <c r="I392" s="167"/>
      <c r="J392" s="167"/>
    </row>
    <row r="393" spans="1:10">
      <c r="A393" s="330" t="s">
        <v>1245</v>
      </c>
      <c r="B393" s="193"/>
      <c r="C393" s="194"/>
      <c r="D393" s="194"/>
      <c r="E393" s="194"/>
      <c r="F393" s="193"/>
      <c r="G393" s="331">
        <f>F386*G386+F387*G387+F390*G390</f>
        <v>7</v>
      </c>
      <c r="I393" s="167"/>
      <c r="J393" s="167"/>
    </row>
    <row r="394" spans="1:10">
      <c r="A394" s="332"/>
      <c r="B394" s="333"/>
      <c r="C394" s="334"/>
      <c r="D394" s="334"/>
      <c r="E394" s="334"/>
      <c r="F394" s="333"/>
      <c r="G394" s="333"/>
      <c r="I394" s="167"/>
      <c r="J394" s="167"/>
    </row>
    <row r="395" spans="1:10">
      <c r="A395" s="335" t="s">
        <v>1246</v>
      </c>
      <c r="B395" s="336"/>
      <c r="C395" s="336"/>
      <c r="D395" s="337"/>
      <c r="E395" s="337"/>
      <c r="F395" s="337"/>
      <c r="G395" s="296"/>
      <c r="I395" s="167"/>
      <c r="J395" s="167"/>
    </row>
    <row r="396" spans="1:10">
      <c r="A396" s="299"/>
      <c r="B396" s="308"/>
      <c r="C396" s="300"/>
      <c r="D396" s="186" t="s">
        <v>1247</v>
      </c>
      <c r="E396" s="338" t="s">
        <v>1248</v>
      </c>
      <c r="F396" s="339" t="s">
        <v>1084</v>
      </c>
      <c r="G396" s="339" t="s">
        <v>1087</v>
      </c>
      <c r="I396" s="167"/>
      <c r="J396" s="167"/>
    </row>
    <row r="397" spans="1:10">
      <c r="A397" s="188" t="s">
        <v>1249</v>
      </c>
      <c r="B397" s="310"/>
      <c r="C397" s="309"/>
      <c r="D397" s="196">
        <v>0.6</v>
      </c>
      <c r="E397" s="196">
        <v>1</v>
      </c>
      <c r="F397" s="189">
        <v>2</v>
      </c>
      <c r="G397" s="189">
        <f>D397*E397*F397</f>
        <v>1.2</v>
      </c>
      <c r="I397" s="167"/>
      <c r="J397" s="167"/>
    </row>
    <row r="398" spans="1:10">
      <c r="A398" s="188" t="s">
        <v>1250</v>
      </c>
      <c r="B398" s="310"/>
      <c r="C398" s="309"/>
      <c r="D398" s="196">
        <v>0.3</v>
      </c>
      <c r="E398" s="196">
        <v>1</v>
      </c>
      <c r="F398" s="189">
        <v>6</v>
      </c>
      <c r="G398" s="189">
        <f>D398*E398*F398</f>
        <v>1.8</v>
      </c>
      <c r="I398" s="167"/>
      <c r="J398" s="167"/>
    </row>
    <row r="399" spans="1:10">
      <c r="A399" s="188" t="s">
        <v>1251</v>
      </c>
      <c r="B399" s="310"/>
      <c r="C399" s="309"/>
      <c r="D399" s="196">
        <v>1.15</v>
      </c>
      <c r="E399" s="196">
        <v>1.5</v>
      </c>
      <c r="F399" s="189">
        <v>2</v>
      </c>
      <c r="G399" s="189">
        <f>D399*E399*F399</f>
        <v>3.45</v>
      </c>
      <c r="I399" s="167"/>
      <c r="J399" s="167"/>
    </row>
    <row r="400" spans="1:10">
      <c r="A400" s="188" t="s">
        <v>1252</v>
      </c>
      <c r="B400" s="310"/>
      <c r="C400" s="309"/>
      <c r="D400" s="196">
        <v>1.15</v>
      </c>
      <c r="E400" s="196">
        <v>2</v>
      </c>
      <c r="F400" s="189">
        <v>7</v>
      </c>
      <c r="G400" s="189">
        <f>D400*E400*F400</f>
        <v>16.1</v>
      </c>
      <c r="I400" s="167"/>
      <c r="J400" s="167"/>
    </row>
    <row r="401" spans="1:10">
      <c r="A401" s="188"/>
      <c r="B401" s="310"/>
      <c r="C401" s="309"/>
      <c r="D401" s="194"/>
      <c r="E401" s="194"/>
      <c r="F401" s="189"/>
      <c r="G401" s="189"/>
      <c r="I401" s="167"/>
      <c r="J401" s="167"/>
    </row>
    <row r="402" spans="1:10">
      <c r="A402" s="188" t="s">
        <v>1253</v>
      </c>
      <c r="B402" s="310"/>
      <c r="C402" s="309"/>
      <c r="D402" s="194"/>
      <c r="E402" s="194"/>
      <c r="F402" s="189"/>
      <c r="G402" s="189">
        <f>E397*F397+E398*F398+E399*F399</f>
        <v>11</v>
      </c>
      <c r="I402" s="167"/>
      <c r="J402" s="167"/>
    </row>
    <row r="403" spans="1:10">
      <c r="A403" s="188" t="s">
        <v>1254</v>
      </c>
      <c r="B403" s="310"/>
      <c r="C403" s="309"/>
      <c r="D403" s="194"/>
      <c r="E403" s="194"/>
      <c r="F403" s="189"/>
      <c r="G403" s="189">
        <f>E400*F400</f>
        <v>14</v>
      </c>
      <c r="I403" s="167"/>
      <c r="J403" s="167"/>
    </row>
    <row r="404" spans="1:10">
      <c r="A404" s="188" t="s">
        <v>1255</v>
      </c>
      <c r="B404" s="310"/>
      <c r="C404" s="309"/>
      <c r="D404" s="194"/>
      <c r="E404" s="194"/>
      <c r="F404" s="189"/>
      <c r="G404" s="189">
        <f>G402</f>
        <v>11</v>
      </c>
      <c r="I404" s="167"/>
      <c r="J404" s="167"/>
    </row>
    <row r="405" spans="1:10">
      <c r="A405" s="188" t="s">
        <v>1256</v>
      </c>
      <c r="B405" s="310"/>
      <c r="C405" s="309"/>
      <c r="D405" s="194"/>
      <c r="E405" s="194"/>
      <c r="F405" s="189"/>
      <c r="G405" s="189">
        <f>G403</f>
        <v>14</v>
      </c>
      <c r="I405" s="167"/>
      <c r="J405" s="167"/>
    </row>
    <row r="406" spans="1:10">
      <c r="A406" s="337" t="s">
        <v>779</v>
      </c>
      <c r="B406" s="337"/>
      <c r="C406" s="337"/>
      <c r="D406" s="337"/>
      <c r="E406" s="337"/>
      <c r="F406" s="337"/>
      <c r="G406" s="296">
        <f>G397</f>
        <v>1.2</v>
      </c>
      <c r="I406" s="167"/>
      <c r="J406" s="167"/>
    </row>
    <row r="407" spans="1:10">
      <c r="A407" s="188"/>
      <c r="B407" s="310"/>
      <c r="C407" s="309"/>
      <c r="D407" s="194"/>
      <c r="E407" s="194"/>
      <c r="F407" s="189"/>
      <c r="G407" s="189"/>
      <c r="I407" s="167"/>
      <c r="J407" s="167"/>
    </row>
    <row r="408" spans="1:10">
      <c r="A408" s="340" t="s">
        <v>1257</v>
      </c>
      <c r="B408" s="337"/>
      <c r="C408" s="337"/>
      <c r="D408" s="337"/>
      <c r="E408" s="337"/>
      <c r="F408" s="337"/>
      <c r="G408" s="296"/>
      <c r="I408" s="167"/>
      <c r="J408" s="167"/>
    </row>
    <row r="409" spans="1:10">
      <c r="A409" s="318" t="s">
        <v>1258</v>
      </c>
      <c r="B409" s="292"/>
      <c r="C409" s="291"/>
      <c r="D409" s="291"/>
      <c r="E409" s="291"/>
      <c r="F409" s="292"/>
      <c r="G409" s="292" t="s">
        <v>1080</v>
      </c>
      <c r="I409" s="167"/>
      <c r="J409" s="167"/>
    </row>
    <row r="410" spans="1:10">
      <c r="A410" s="341" t="s">
        <v>1259</v>
      </c>
      <c r="B410" s="310"/>
      <c r="C410" s="309"/>
      <c r="D410" s="194" t="s">
        <v>1260</v>
      </c>
      <c r="E410" s="196"/>
      <c r="F410" s="189"/>
      <c r="G410" s="189">
        <f>G392+G393</f>
        <v>20.5</v>
      </c>
      <c r="I410" s="167"/>
      <c r="J410" s="167"/>
    </row>
    <row r="411" spans="1:10">
      <c r="A411" s="299"/>
      <c r="B411" s="308"/>
      <c r="C411" s="300"/>
      <c r="D411" s="186"/>
      <c r="E411" s="342"/>
      <c r="F411" s="222"/>
      <c r="G411" s="222"/>
      <c r="I411" s="167"/>
      <c r="J411" s="167"/>
    </row>
    <row r="412" spans="1:10">
      <c r="A412" s="318" t="s">
        <v>1261</v>
      </c>
      <c r="B412" s="292"/>
      <c r="C412" s="291"/>
      <c r="D412" s="291"/>
      <c r="E412" s="291"/>
      <c r="F412" s="292"/>
      <c r="G412" s="292" t="s">
        <v>1080</v>
      </c>
      <c r="I412" s="167"/>
      <c r="J412" s="167"/>
    </row>
    <row r="413" spans="1:10">
      <c r="A413" s="299" t="s">
        <v>1262</v>
      </c>
      <c r="B413" s="308"/>
      <c r="C413" s="300"/>
      <c r="D413" s="186" t="s">
        <v>1263</v>
      </c>
      <c r="E413" s="342"/>
      <c r="F413" s="222"/>
      <c r="G413" s="222">
        <f>G402+G403</f>
        <v>25</v>
      </c>
      <c r="I413" s="167"/>
      <c r="J413" s="167"/>
    </row>
    <row r="414" spans="1:10">
      <c r="A414" s="318" t="s">
        <v>1264</v>
      </c>
      <c r="B414" s="292"/>
      <c r="C414" s="291"/>
      <c r="D414" s="291"/>
      <c r="E414" s="291" t="s">
        <v>1265</v>
      </c>
      <c r="F414" s="292" t="s">
        <v>1266</v>
      </c>
      <c r="G414" s="292" t="s">
        <v>1267</v>
      </c>
      <c r="I414" s="167"/>
      <c r="J414" s="167"/>
    </row>
    <row r="415" spans="1:10">
      <c r="A415" s="205" t="s">
        <v>1158</v>
      </c>
      <c r="B415" s="310"/>
      <c r="C415" s="309"/>
      <c r="D415" s="194"/>
      <c r="E415" s="190">
        <f>6.3+5.55+1.85+0.15+0.7+1+3.2+1+0.7+0.15+1.95+0.15+0.7+4</f>
        <v>27.4</v>
      </c>
      <c r="F415" s="189">
        <f>2+0.8+0.8+0.9</f>
        <v>4.5</v>
      </c>
      <c r="G415" s="189">
        <f>ROUND(E415-F415,2)</f>
        <v>22.9</v>
      </c>
      <c r="I415" s="167"/>
      <c r="J415" s="167"/>
    </row>
    <row r="416" spans="1:10">
      <c r="A416" s="205" t="s">
        <v>1159</v>
      </c>
      <c r="B416" s="310"/>
      <c r="C416" s="309"/>
      <c r="D416" s="194"/>
      <c r="E416" s="190">
        <f>14.525+5.55+1.225+4.15+13.3</f>
        <v>38.75</v>
      </c>
      <c r="F416" s="189">
        <f>7*0.8+1.6</f>
        <v>7.2</v>
      </c>
      <c r="G416" s="189">
        <f t="shared" ref="G416:G432" si="21">ROUND(E416-F416,2)</f>
        <v>31.55</v>
      </c>
      <c r="I416" s="167"/>
      <c r="J416" s="167"/>
    </row>
    <row r="417" spans="1:10">
      <c r="A417" s="205" t="s">
        <v>1160</v>
      </c>
      <c r="B417" s="310"/>
      <c r="C417" s="309"/>
      <c r="D417" s="194"/>
      <c r="E417" s="190">
        <f>4+4+3.5+3.5</f>
        <v>15</v>
      </c>
      <c r="F417" s="189">
        <f>0.8*2</f>
        <v>1.6</v>
      </c>
      <c r="G417" s="189">
        <f t="shared" si="21"/>
        <v>13.4</v>
      </c>
      <c r="I417" s="167"/>
      <c r="J417" s="167"/>
    </row>
    <row r="418" spans="1:10">
      <c r="A418" s="205" t="s">
        <v>1161</v>
      </c>
      <c r="B418" s="310"/>
      <c r="C418" s="309"/>
      <c r="D418" s="194"/>
      <c r="E418" s="190">
        <f>1.3*2+1.96*2</f>
        <v>6.52</v>
      </c>
      <c r="F418" s="189">
        <v>0.8</v>
      </c>
      <c r="G418" s="189">
        <f t="shared" si="21"/>
        <v>5.72</v>
      </c>
      <c r="I418" s="167"/>
      <c r="J418" s="167"/>
    </row>
    <row r="419" spans="1:10">
      <c r="A419" s="205" t="s">
        <v>1162</v>
      </c>
      <c r="B419" s="310"/>
      <c r="C419" s="309"/>
      <c r="D419" s="194"/>
      <c r="E419" s="190">
        <f>1.45+1.89+4.2+4+2.75+2.11</f>
        <v>16.4</v>
      </c>
      <c r="F419" s="189">
        <v>1.6</v>
      </c>
      <c r="G419" s="189">
        <f t="shared" si="21"/>
        <v>14.8</v>
      </c>
      <c r="I419" s="167"/>
      <c r="J419" s="167"/>
    </row>
    <row r="420" spans="1:7">
      <c r="A420" s="205" t="s">
        <v>1163</v>
      </c>
      <c r="B420" s="310"/>
      <c r="C420" s="309"/>
      <c r="D420" s="194"/>
      <c r="E420" s="190">
        <f>4*2+8*2</f>
        <v>24</v>
      </c>
      <c r="F420" s="189">
        <f>1.6*2</f>
        <v>3.2</v>
      </c>
      <c r="G420" s="189">
        <f t="shared" si="21"/>
        <v>20.8</v>
      </c>
    </row>
    <row r="421" spans="1:7">
      <c r="A421" s="205" t="s">
        <v>1164</v>
      </c>
      <c r="B421" s="310"/>
      <c r="C421" s="309"/>
      <c r="D421" s="194"/>
      <c r="E421" s="190">
        <f>2.17*2+3.83*2</f>
        <v>12</v>
      </c>
      <c r="F421" s="189">
        <v>0.8</v>
      </c>
      <c r="G421" s="189">
        <f t="shared" si="21"/>
        <v>11.2</v>
      </c>
    </row>
    <row r="422" spans="1:7">
      <c r="A422" s="205" t="s">
        <v>1165</v>
      </c>
      <c r="B422" s="310"/>
      <c r="C422" s="309"/>
      <c r="D422" s="194"/>
      <c r="E422" s="190">
        <f>1.725+2.33</f>
        <v>4.055</v>
      </c>
      <c r="F422" s="189">
        <v>0.8</v>
      </c>
      <c r="G422" s="189">
        <f t="shared" si="21"/>
        <v>3.26</v>
      </c>
    </row>
    <row r="423" spans="1:7">
      <c r="A423" s="205" t="s">
        <v>1166</v>
      </c>
      <c r="B423" s="310"/>
      <c r="C423" s="309"/>
      <c r="D423" s="194"/>
      <c r="E423" s="190">
        <f>1.4*2+2*2</f>
        <v>6.8</v>
      </c>
      <c r="F423" s="189">
        <v>0.8</v>
      </c>
      <c r="G423" s="189">
        <f t="shared" si="21"/>
        <v>6</v>
      </c>
    </row>
    <row r="424" spans="1:7">
      <c r="A424" s="205" t="s">
        <v>1167</v>
      </c>
      <c r="B424" s="310"/>
      <c r="C424" s="309"/>
      <c r="D424" s="194"/>
      <c r="E424" s="190">
        <f>1.85*2+1.4*2</f>
        <v>6.5</v>
      </c>
      <c r="F424" s="189">
        <v>0.8</v>
      </c>
      <c r="G424" s="189">
        <f t="shared" si="21"/>
        <v>5.7</v>
      </c>
    </row>
    <row r="425" spans="1:7">
      <c r="A425" s="205" t="s">
        <v>1168</v>
      </c>
      <c r="B425" s="310"/>
      <c r="C425" s="309"/>
      <c r="D425" s="194"/>
      <c r="E425" s="190">
        <f>4*2+1.725*2</f>
        <v>11.45</v>
      </c>
      <c r="F425" s="189">
        <v>0.8</v>
      </c>
      <c r="G425" s="189">
        <f t="shared" si="21"/>
        <v>10.65</v>
      </c>
    </row>
    <row r="426" spans="1:7">
      <c r="A426" s="205" t="s">
        <v>1169</v>
      </c>
      <c r="B426" s="310"/>
      <c r="C426" s="309"/>
      <c r="D426" s="194"/>
      <c r="E426" s="190">
        <f>1.725*2+4*2</f>
        <v>11.45</v>
      </c>
      <c r="F426" s="189">
        <v>0.8</v>
      </c>
      <c r="G426" s="189">
        <f t="shared" si="21"/>
        <v>10.65</v>
      </c>
    </row>
    <row r="427" spans="1:7">
      <c r="A427" s="205" t="s">
        <v>1170</v>
      </c>
      <c r="B427" s="310"/>
      <c r="C427" s="309"/>
      <c r="D427" s="194"/>
      <c r="E427" s="190">
        <f>2.115+2.75+4+4.2+1.45+1.885</f>
        <v>16.4</v>
      </c>
      <c r="F427" s="189">
        <v>1.6</v>
      </c>
      <c r="G427" s="189">
        <f t="shared" si="21"/>
        <v>14.8</v>
      </c>
    </row>
    <row r="428" spans="1:7">
      <c r="A428" s="205" t="s">
        <v>1171</v>
      </c>
      <c r="B428" s="310"/>
      <c r="C428" s="309"/>
      <c r="D428" s="194"/>
      <c r="E428" s="190">
        <f>1.3*2+1.965*2</f>
        <v>6.53</v>
      </c>
      <c r="F428" s="189">
        <v>0.8</v>
      </c>
      <c r="G428" s="189">
        <f t="shared" si="21"/>
        <v>5.73</v>
      </c>
    </row>
    <row r="429" spans="1:7">
      <c r="A429" s="205" t="s">
        <v>1172</v>
      </c>
      <c r="B429" s="310"/>
      <c r="C429" s="309"/>
      <c r="D429" s="194"/>
      <c r="E429" s="190">
        <f>3.45*2+4*2</f>
        <v>14.9</v>
      </c>
      <c r="F429" s="189">
        <v>1.6</v>
      </c>
      <c r="G429" s="189">
        <f t="shared" si="21"/>
        <v>13.3</v>
      </c>
    </row>
    <row r="430" spans="1:7">
      <c r="A430" s="205" t="s">
        <v>1173</v>
      </c>
      <c r="B430" s="310"/>
      <c r="C430" s="309"/>
      <c r="D430" s="194"/>
      <c r="E430" s="190">
        <f>1.15+0.95+4+1.8+2.85+0.85</f>
        <v>11.6</v>
      </c>
      <c r="F430" s="189">
        <v>0.8</v>
      </c>
      <c r="G430" s="189">
        <f t="shared" si="21"/>
        <v>10.8</v>
      </c>
    </row>
    <row r="431" spans="1:7">
      <c r="A431" s="205" t="s">
        <v>1174</v>
      </c>
      <c r="B431" s="310"/>
      <c r="C431" s="309"/>
      <c r="D431" s="194"/>
      <c r="E431" s="190">
        <f>1.55*2+2.85*2</f>
        <v>8.8</v>
      </c>
      <c r="F431" s="189">
        <v>0.8</v>
      </c>
      <c r="G431" s="189">
        <f t="shared" si="21"/>
        <v>8</v>
      </c>
    </row>
    <row r="432" spans="1:7">
      <c r="A432" s="205" t="s">
        <v>1175</v>
      </c>
      <c r="B432" s="189"/>
      <c r="C432" s="190"/>
      <c r="D432" s="194"/>
      <c r="E432" s="190">
        <f>2.85+0.8+1.15+1+4+1.8</f>
        <v>11.6</v>
      </c>
      <c r="F432" s="189">
        <v>0.8</v>
      </c>
      <c r="G432" s="189">
        <f t="shared" si="21"/>
        <v>10.8</v>
      </c>
    </row>
    <row r="433" ht="16.5" customHeight="1" spans="1:7">
      <c r="A433" s="239"/>
      <c r="B433" s="239"/>
      <c r="C433" s="240"/>
      <c r="D433" s="240"/>
      <c r="E433" s="212" t="s">
        <v>779</v>
      </c>
      <c r="F433" s="213"/>
      <c r="G433" s="214">
        <f>SUM(G415:G432)</f>
        <v>220.06</v>
      </c>
    </row>
    <row r="434" ht="10.5" customHeight="1" spans="1:7">
      <c r="A434" s="262"/>
      <c r="B434" s="262"/>
      <c r="C434" s="263"/>
      <c r="D434" s="263"/>
      <c r="E434" s="263"/>
      <c r="F434" s="262"/>
      <c r="G434" s="262"/>
    </row>
    <row r="435" spans="1:7">
      <c r="A435" s="181" t="s">
        <v>1268</v>
      </c>
      <c r="B435" s="182"/>
      <c r="C435" s="182"/>
      <c r="D435" s="182"/>
      <c r="E435" s="182"/>
      <c r="F435" s="182"/>
      <c r="G435" s="183"/>
    </row>
    <row r="436" spans="1:7">
      <c r="A436" s="343" t="s">
        <v>1026</v>
      </c>
      <c r="B436" s="343"/>
      <c r="C436" s="186"/>
      <c r="D436" s="186"/>
      <c r="E436" s="186" t="s">
        <v>1049</v>
      </c>
      <c r="F436" s="344"/>
      <c r="G436" s="187" t="s">
        <v>779</v>
      </c>
    </row>
    <row r="437" spans="1:7">
      <c r="A437" s="188" t="s">
        <v>1158</v>
      </c>
      <c r="B437" s="279"/>
      <c r="C437" s="190"/>
      <c r="D437" s="190"/>
      <c r="E437" s="190">
        <v>37.35</v>
      </c>
      <c r="F437" s="189"/>
      <c r="G437" s="204">
        <f>E437</f>
        <v>37.35</v>
      </c>
    </row>
    <row r="438" spans="1:7">
      <c r="A438" s="188" t="s">
        <v>1159</v>
      </c>
      <c r="B438" s="279"/>
      <c r="C438" s="190"/>
      <c r="D438" s="190"/>
      <c r="E438" s="190">
        <v>25.41</v>
      </c>
      <c r="F438" s="189"/>
      <c r="G438" s="204">
        <f t="shared" ref="G438:G454" si="22">E438</f>
        <v>25.41</v>
      </c>
    </row>
    <row r="439" spans="1:7">
      <c r="A439" s="188" t="s">
        <v>1160</v>
      </c>
      <c r="B439" s="279"/>
      <c r="C439" s="190"/>
      <c r="D439" s="190"/>
      <c r="E439" s="190">
        <v>14</v>
      </c>
      <c r="F439" s="189"/>
      <c r="G439" s="204">
        <f t="shared" si="22"/>
        <v>14</v>
      </c>
    </row>
    <row r="440" spans="1:7">
      <c r="A440" s="188" t="s">
        <v>1161</v>
      </c>
      <c r="B440" s="279"/>
      <c r="C440" s="190"/>
      <c r="D440" s="190"/>
      <c r="E440" s="190">
        <v>2.6</v>
      </c>
      <c r="F440" s="189"/>
      <c r="G440" s="204">
        <f t="shared" si="22"/>
        <v>2.6</v>
      </c>
    </row>
    <row r="441" spans="1:7">
      <c r="A441" s="188" t="s">
        <v>1162</v>
      </c>
      <c r="B441" s="279"/>
      <c r="C441" s="190"/>
      <c r="D441" s="190"/>
      <c r="E441" s="190">
        <v>13.69</v>
      </c>
      <c r="F441" s="189"/>
      <c r="G441" s="204">
        <f t="shared" si="22"/>
        <v>13.69</v>
      </c>
    </row>
    <row r="442" spans="1:7">
      <c r="A442" s="188" t="s">
        <v>1163</v>
      </c>
      <c r="B442" s="279"/>
      <c r="C442" s="190"/>
      <c r="D442" s="190"/>
      <c r="E442" s="190">
        <v>32</v>
      </c>
      <c r="F442" s="189"/>
      <c r="G442" s="204">
        <f t="shared" si="22"/>
        <v>32</v>
      </c>
    </row>
    <row r="443" spans="1:7">
      <c r="A443" s="188" t="s">
        <v>1164</v>
      </c>
      <c r="B443" s="279"/>
      <c r="C443" s="190"/>
      <c r="D443" s="190"/>
      <c r="E443" s="190">
        <v>8.31</v>
      </c>
      <c r="F443" s="189"/>
      <c r="G443" s="204">
        <f t="shared" si="22"/>
        <v>8.31</v>
      </c>
    </row>
    <row r="444" spans="1:7">
      <c r="A444" s="188" t="s">
        <v>1165</v>
      </c>
      <c r="B444" s="279"/>
      <c r="C444" s="190"/>
      <c r="D444" s="190"/>
      <c r="E444" s="190">
        <v>4</v>
      </c>
      <c r="F444" s="189"/>
      <c r="G444" s="204">
        <f t="shared" si="22"/>
        <v>4</v>
      </c>
    </row>
    <row r="445" spans="1:7">
      <c r="A445" s="188" t="s">
        <v>1166</v>
      </c>
      <c r="B445" s="279"/>
      <c r="C445" s="190"/>
      <c r="D445" s="190"/>
      <c r="E445" s="190">
        <v>2.8</v>
      </c>
      <c r="F445" s="189"/>
      <c r="G445" s="204">
        <f t="shared" si="22"/>
        <v>2.8</v>
      </c>
    </row>
    <row r="446" spans="1:7">
      <c r="A446" s="188" t="s">
        <v>1167</v>
      </c>
      <c r="B446" s="279"/>
      <c r="C446" s="190"/>
      <c r="D446" s="190"/>
      <c r="E446" s="190">
        <v>2.6</v>
      </c>
      <c r="F446" s="189"/>
      <c r="G446" s="204">
        <f t="shared" si="22"/>
        <v>2.6</v>
      </c>
    </row>
    <row r="447" spans="1:7">
      <c r="A447" s="188" t="s">
        <v>1168</v>
      </c>
      <c r="B447" s="279"/>
      <c r="C447" s="190"/>
      <c r="D447" s="190"/>
      <c r="E447" s="190">
        <v>6.9</v>
      </c>
      <c r="F447" s="189"/>
      <c r="G447" s="204">
        <f t="shared" si="22"/>
        <v>6.9</v>
      </c>
    </row>
    <row r="448" spans="1:7">
      <c r="A448" s="188" t="s">
        <v>1169</v>
      </c>
      <c r="B448" s="279"/>
      <c r="C448" s="190"/>
      <c r="D448" s="190"/>
      <c r="E448" s="190">
        <v>6.9</v>
      </c>
      <c r="F448" s="189"/>
      <c r="G448" s="204">
        <f t="shared" si="22"/>
        <v>6.9</v>
      </c>
    </row>
    <row r="449" spans="1:7">
      <c r="A449" s="188" t="s">
        <v>1170</v>
      </c>
      <c r="B449" s="279"/>
      <c r="C449" s="190"/>
      <c r="D449" s="190"/>
      <c r="E449" s="190">
        <v>13.73</v>
      </c>
      <c r="F449" s="189"/>
      <c r="G449" s="204">
        <f t="shared" si="22"/>
        <v>13.73</v>
      </c>
    </row>
    <row r="450" spans="1:7">
      <c r="A450" s="188" t="s">
        <v>1171</v>
      </c>
      <c r="B450" s="279"/>
      <c r="C450" s="190"/>
      <c r="D450" s="190"/>
      <c r="E450" s="190">
        <v>2.6</v>
      </c>
      <c r="F450" s="189"/>
      <c r="G450" s="204">
        <f t="shared" si="22"/>
        <v>2.6</v>
      </c>
    </row>
    <row r="451" spans="1:7">
      <c r="A451" s="188" t="s">
        <v>1172</v>
      </c>
      <c r="B451" s="279"/>
      <c r="C451" s="190"/>
      <c r="D451" s="190"/>
      <c r="E451" s="190">
        <v>14</v>
      </c>
      <c r="F451" s="189"/>
      <c r="G451" s="204">
        <f t="shared" si="22"/>
        <v>14</v>
      </c>
    </row>
    <row r="452" spans="1:7">
      <c r="A452" s="188" t="s">
        <v>1173</v>
      </c>
      <c r="B452" s="279"/>
      <c r="C452" s="190"/>
      <c r="D452" s="190"/>
      <c r="E452" s="190">
        <v>6.22</v>
      </c>
      <c r="F452" s="189"/>
      <c r="G452" s="204">
        <f t="shared" si="22"/>
        <v>6.22</v>
      </c>
    </row>
    <row r="453" spans="1:7">
      <c r="A453" s="188" t="s">
        <v>1174</v>
      </c>
      <c r="B453" s="279"/>
      <c r="C453" s="190"/>
      <c r="D453" s="190"/>
      <c r="E453" s="190">
        <v>4.35</v>
      </c>
      <c r="F453" s="189"/>
      <c r="G453" s="204">
        <f t="shared" si="22"/>
        <v>4.35</v>
      </c>
    </row>
    <row r="454" spans="1:7">
      <c r="A454" s="188" t="s">
        <v>1175</v>
      </c>
      <c r="B454" s="279"/>
      <c r="C454" s="190"/>
      <c r="D454" s="190"/>
      <c r="E454" s="190">
        <v>6.28</v>
      </c>
      <c r="F454" s="189"/>
      <c r="G454" s="204">
        <f t="shared" si="22"/>
        <v>6.28</v>
      </c>
    </row>
    <row r="455" spans="1:7">
      <c r="A455" s="345"/>
      <c r="B455" s="222"/>
      <c r="C455" s="221"/>
      <c r="D455" s="221"/>
      <c r="E455" s="302"/>
      <c r="F455" s="222"/>
      <c r="G455" s="346"/>
    </row>
    <row r="456" spans="1:7">
      <c r="A456" s="345"/>
      <c r="B456" s="222"/>
      <c r="C456" s="221"/>
      <c r="D456" s="221"/>
      <c r="E456" s="212" t="s">
        <v>779</v>
      </c>
      <c r="F456" s="213"/>
      <c r="G456" s="214">
        <f>SUM(G437:G454)</f>
        <v>203.74</v>
      </c>
    </row>
    <row r="457" ht="10.5" customHeight="1" spans="1:7">
      <c r="A457" s="262"/>
      <c r="B457" s="262"/>
      <c r="C457" s="263"/>
      <c r="D457" s="263"/>
      <c r="E457" s="263"/>
      <c r="F457" s="262"/>
      <c r="G457" s="262"/>
    </row>
    <row r="458" spans="1:7">
      <c r="A458" s="181" t="s">
        <v>1269</v>
      </c>
      <c r="B458" s="182"/>
      <c r="C458" s="182"/>
      <c r="D458" s="182"/>
      <c r="E458" s="182"/>
      <c r="F458" s="182"/>
      <c r="G458" s="183"/>
    </row>
    <row r="459" spans="1:7">
      <c r="A459" s="184" t="s">
        <v>1026</v>
      </c>
      <c r="B459" s="185"/>
      <c r="C459" s="186"/>
      <c r="D459" s="186" t="s">
        <v>1270</v>
      </c>
      <c r="E459" s="186" t="s">
        <v>1087</v>
      </c>
      <c r="F459" s="185"/>
      <c r="G459" s="185" t="s">
        <v>1271</v>
      </c>
    </row>
    <row r="460" spans="1:7">
      <c r="A460" s="341" t="s">
        <v>1272</v>
      </c>
      <c r="B460" s="189"/>
      <c r="C460" s="233"/>
      <c r="D460" s="233"/>
      <c r="E460" s="190">
        <f>G10</f>
        <v>241</v>
      </c>
      <c r="F460" s="234"/>
      <c r="G460" s="280">
        <f>E460</f>
        <v>241</v>
      </c>
    </row>
    <row r="461" spans="1:7">
      <c r="A461" s="341" t="s">
        <v>1273</v>
      </c>
      <c r="B461" s="189"/>
      <c r="C461" s="309"/>
      <c r="D461" s="190"/>
      <c r="E461" s="190">
        <f>E460</f>
        <v>241</v>
      </c>
      <c r="F461" s="189"/>
      <c r="G461" s="280">
        <f>E461</f>
        <v>241</v>
      </c>
    </row>
    <row r="462" spans="1:7">
      <c r="A462" s="188" t="s">
        <v>1274</v>
      </c>
      <c r="B462" s="279"/>
      <c r="C462" s="190"/>
      <c r="D462" s="190"/>
      <c r="E462" s="190">
        <f>E461</f>
        <v>241</v>
      </c>
      <c r="F462" s="189"/>
      <c r="G462" s="280">
        <f>E462</f>
        <v>241</v>
      </c>
    </row>
    <row r="463" spans="1:7">
      <c r="A463" s="188" t="s">
        <v>1275</v>
      </c>
      <c r="B463" s="279"/>
      <c r="C463" s="190"/>
      <c r="D463" s="190">
        <f>11.7+11.7+3.15+3.15</f>
        <v>29.7</v>
      </c>
      <c r="E463" s="190"/>
      <c r="F463" s="189"/>
      <c r="G463" s="189"/>
    </row>
    <row r="464" spans="1:7">
      <c r="A464" s="188" t="s">
        <v>1276</v>
      </c>
      <c r="B464" s="279"/>
      <c r="C464" s="190"/>
      <c r="D464" s="190">
        <v>23.47</v>
      </c>
      <c r="E464" s="190"/>
      <c r="F464" s="189"/>
      <c r="G464" s="189"/>
    </row>
    <row r="466" spans="1:7">
      <c r="A466" s="181" t="s">
        <v>1277</v>
      </c>
      <c r="B466" s="182"/>
      <c r="C466" s="182"/>
      <c r="D466" s="182"/>
      <c r="E466" s="182"/>
      <c r="F466" s="182"/>
      <c r="G466" s="183"/>
    </row>
    <row r="467" spans="1:7">
      <c r="A467" s="184" t="s">
        <v>1026</v>
      </c>
      <c r="B467" s="185"/>
      <c r="C467" s="186"/>
      <c r="D467" s="186"/>
      <c r="E467" s="186"/>
      <c r="F467" s="185"/>
      <c r="G467" s="185" t="s">
        <v>1189</v>
      </c>
    </row>
    <row r="468" spans="1:9">
      <c r="A468" s="188" t="s">
        <v>1278</v>
      </c>
      <c r="B468" s="189"/>
      <c r="C468" s="347"/>
      <c r="D468" s="347"/>
      <c r="E468" s="347"/>
      <c r="F468" s="347"/>
      <c r="G468" s="189">
        <v>44.61</v>
      </c>
      <c r="I468" s="167"/>
    </row>
    <row r="469" customHeight="1" spans="1:9">
      <c r="A469" s="188" t="s">
        <v>1279</v>
      </c>
      <c r="B469" s="189"/>
      <c r="C469" s="347"/>
      <c r="D469" s="347"/>
      <c r="E469" s="347"/>
      <c r="F469" s="347"/>
      <c r="G469" s="189">
        <v>18.61</v>
      </c>
      <c r="I469" s="167"/>
    </row>
    <row r="470" customHeight="1" spans="1:9">
      <c r="A470" s="188"/>
      <c r="B470" s="189"/>
      <c r="C470" s="233"/>
      <c r="D470" s="233"/>
      <c r="E470" s="233"/>
      <c r="F470" s="347"/>
      <c r="G470" s="189"/>
      <c r="I470" s="167"/>
    </row>
    <row r="471" spans="1:9">
      <c r="A471" s="188" t="s">
        <v>425</v>
      </c>
      <c r="B471" s="279"/>
      <c r="C471" s="190"/>
      <c r="D471" s="190"/>
      <c r="E471" s="190"/>
      <c r="F471" s="189"/>
      <c r="G471" s="347" t="s">
        <v>1280</v>
      </c>
      <c r="I471" s="167"/>
    </row>
    <row r="472" spans="1:9">
      <c r="A472" s="188" t="s">
        <v>1281</v>
      </c>
      <c r="B472" s="279"/>
      <c r="C472" s="347"/>
      <c r="D472" s="347"/>
      <c r="E472" s="347"/>
      <c r="F472" s="347"/>
      <c r="G472" s="189">
        <v>1</v>
      </c>
      <c r="I472" s="167"/>
    </row>
    <row r="473" spans="1:9">
      <c r="A473" s="188" t="s">
        <v>1282</v>
      </c>
      <c r="B473" s="189"/>
      <c r="C473" s="190"/>
      <c r="D473" s="190"/>
      <c r="E473" s="190"/>
      <c r="F473" s="189"/>
      <c r="G473" s="189">
        <v>13.45</v>
      </c>
      <c r="I473" s="167"/>
    </row>
    <row r="474" spans="1:9">
      <c r="A474" s="188" t="s">
        <v>1283</v>
      </c>
      <c r="B474" s="189"/>
      <c r="C474" s="190"/>
      <c r="D474" s="190"/>
      <c r="E474" s="190"/>
      <c r="F474" s="189"/>
      <c r="G474" s="189">
        <v>1</v>
      </c>
      <c r="I474" s="167"/>
    </row>
    <row r="475" spans="1:9">
      <c r="A475" s="262"/>
      <c r="B475" s="262"/>
      <c r="C475" s="263"/>
      <c r="D475" s="263"/>
      <c r="E475" s="263"/>
      <c r="F475" s="262"/>
      <c r="G475" s="262"/>
      <c r="I475" s="167"/>
    </row>
    <row r="476" spans="1:7">
      <c r="A476" s="181" t="s">
        <v>1284</v>
      </c>
      <c r="B476" s="182"/>
      <c r="C476" s="182"/>
      <c r="D476" s="182"/>
      <c r="E476" s="182"/>
      <c r="F476" s="182"/>
      <c r="G476" s="183"/>
    </row>
    <row r="477" spans="1:7">
      <c r="A477" s="184" t="s">
        <v>1026</v>
      </c>
      <c r="B477" s="185"/>
      <c r="C477" s="186"/>
      <c r="D477" s="186"/>
      <c r="E477" s="186"/>
      <c r="F477" s="185"/>
      <c r="G477" s="187" t="s">
        <v>1189</v>
      </c>
    </row>
    <row r="478" ht="22.5" spans="1:9">
      <c r="A478" s="348" t="s">
        <v>405</v>
      </c>
      <c r="B478" s="310"/>
      <c r="C478" s="186"/>
      <c r="D478" s="186"/>
      <c r="E478" s="186"/>
      <c r="F478" s="185"/>
      <c r="G478" s="349">
        <f>13.16+4.5</f>
        <v>17.66</v>
      </c>
      <c r="I478" s="167"/>
    </row>
    <row r="479" ht="22.5" spans="1:9">
      <c r="A479" s="348" t="s">
        <v>408</v>
      </c>
      <c r="B479" s="310"/>
      <c r="C479" s="186"/>
      <c r="D479" s="186"/>
      <c r="E479" s="186"/>
      <c r="F479" s="185"/>
      <c r="G479" s="349">
        <v>3.6</v>
      </c>
      <c r="I479" s="167"/>
    </row>
    <row r="480" ht="22.5" spans="1:9">
      <c r="A480" s="348" t="s">
        <v>411</v>
      </c>
      <c r="B480" s="310"/>
      <c r="C480" s="186"/>
      <c r="D480" s="186"/>
      <c r="E480" s="186"/>
      <c r="F480" s="185"/>
      <c r="G480" s="349">
        <f>7.51+0.6</f>
        <v>8.11</v>
      </c>
      <c r="I480" s="167"/>
    </row>
    <row r="481" ht="22.5" spans="1:9">
      <c r="A481" s="348" t="s">
        <v>414</v>
      </c>
      <c r="B481" s="310"/>
      <c r="C481" s="186"/>
      <c r="D481" s="186"/>
      <c r="E481" s="186"/>
      <c r="F481" s="185"/>
      <c r="G481" s="349">
        <v>39.39</v>
      </c>
      <c r="I481" s="167"/>
    </row>
    <row r="482" spans="1:9">
      <c r="A482" s="348"/>
      <c r="B482" s="310"/>
      <c r="C482" s="186"/>
      <c r="D482" s="186"/>
      <c r="E482" s="186"/>
      <c r="F482" s="185"/>
      <c r="G482" s="349"/>
      <c r="I482" s="167"/>
    </row>
    <row r="483" spans="1:9">
      <c r="A483" s="350" t="s">
        <v>454</v>
      </c>
      <c r="B483" s="310"/>
      <c r="C483" s="186"/>
      <c r="D483" s="186"/>
      <c r="E483" s="186"/>
      <c r="F483" s="185"/>
      <c r="G483" s="190"/>
      <c r="I483" s="167"/>
    </row>
    <row r="484" ht="22.5" spans="1:9">
      <c r="A484" s="348" t="s">
        <v>408</v>
      </c>
      <c r="B484" s="310"/>
      <c r="C484" s="186"/>
      <c r="D484" s="186"/>
      <c r="E484" s="186"/>
      <c r="F484" s="185"/>
      <c r="G484" s="349">
        <v>3.6</v>
      </c>
      <c r="I484" s="167"/>
    </row>
    <row r="485" ht="22.5" spans="1:9">
      <c r="A485" s="348" t="s">
        <v>411</v>
      </c>
      <c r="B485" s="310"/>
      <c r="C485" s="186"/>
      <c r="D485" s="186"/>
      <c r="E485" s="186"/>
      <c r="F485" s="185"/>
      <c r="G485" s="349">
        <f>7.51+0.6</f>
        <v>8.11</v>
      </c>
      <c r="I485" s="167"/>
    </row>
    <row r="486" spans="1:9">
      <c r="A486" s="351"/>
      <c r="B486" s="352"/>
      <c r="C486" s="353"/>
      <c r="D486" s="353"/>
      <c r="E486" s="353"/>
      <c r="F486" s="354"/>
      <c r="G486" s="225"/>
      <c r="I486" s="167"/>
    </row>
    <row r="487" spans="1:7">
      <c r="A487" s="181" t="s">
        <v>1285</v>
      </c>
      <c r="B487" s="182"/>
      <c r="C487" s="182"/>
      <c r="D487" s="182"/>
      <c r="E487" s="182"/>
      <c r="F487" s="182"/>
      <c r="G487" s="183"/>
    </row>
    <row r="488" spans="1:7">
      <c r="A488" s="184" t="s">
        <v>1026</v>
      </c>
      <c r="B488" s="185"/>
      <c r="C488" s="186"/>
      <c r="D488" s="186"/>
      <c r="E488" s="186"/>
      <c r="F488" s="185"/>
      <c r="G488" s="187" t="s">
        <v>1280</v>
      </c>
    </row>
    <row r="489" spans="1:7">
      <c r="A489" s="341" t="s">
        <v>1286</v>
      </c>
      <c r="B489" s="310"/>
      <c r="C489" s="309"/>
      <c r="D489" s="190"/>
      <c r="E489" s="190"/>
      <c r="F489" s="189"/>
      <c r="G489" s="189"/>
    </row>
    <row r="490" spans="1:7">
      <c r="A490" s="341" t="s">
        <v>1231</v>
      </c>
      <c r="B490" s="310"/>
      <c r="C490" s="309"/>
      <c r="D490" s="190"/>
      <c r="E490" s="190"/>
      <c r="F490" s="189"/>
      <c r="G490" s="189">
        <v>1</v>
      </c>
    </row>
    <row r="491" spans="1:7">
      <c r="A491" s="341" t="s">
        <v>1232</v>
      </c>
      <c r="B491" s="310"/>
      <c r="C491" s="309"/>
      <c r="D491" s="190"/>
      <c r="E491" s="190"/>
      <c r="F491" s="189"/>
      <c r="G491" s="189">
        <v>1</v>
      </c>
    </row>
    <row r="492" spans="1:7">
      <c r="A492" s="341" t="s">
        <v>1228</v>
      </c>
      <c r="B492" s="310"/>
      <c r="C492" s="309"/>
      <c r="D492" s="190"/>
      <c r="E492" s="190"/>
      <c r="F492" s="189"/>
      <c r="G492" s="189">
        <v>1</v>
      </c>
    </row>
    <row r="493" spans="1:7">
      <c r="A493" s="341" t="s">
        <v>1229</v>
      </c>
      <c r="B493" s="310"/>
      <c r="C493" s="309"/>
      <c r="D493" s="190"/>
      <c r="E493" s="190"/>
      <c r="F493" s="189"/>
      <c r="G493" s="189">
        <v>1</v>
      </c>
    </row>
    <row r="494" spans="1:7">
      <c r="A494" s="341" t="s">
        <v>1230</v>
      </c>
      <c r="B494" s="310"/>
      <c r="C494" s="309"/>
      <c r="D494" s="190"/>
      <c r="E494" s="190"/>
      <c r="F494" s="189"/>
      <c r="G494" s="189">
        <v>1</v>
      </c>
    </row>
    <row r="495" spans="1:7">
      <c r="A495" s="286"/>
      <c r="B495" s="222"/>
      <c r="C495" s="221"/>
      <c r="D495" s="221"/>
      <c r="E495" s="212" t="s">
        <v>779</v>
      </c>
      <c r="F495" s="213"/>
      <c r="G495" s="214">
        <f>SUM(G490:G494)</f>
        <v>5</v>
      </c>
    </row>
    <row r="496" spans="1:7">
      <c r="A496" s="188" t="s">
        <v>1287</v>
      </c>
      <c r="B496" s="189"/>
      <c r="C496" s="190"/>
      <c r="D496" s="190"/>
      <c r="E496" s="190"/>
      <c r="F496" s="189"/>
      <c r="G496" s="225">
        <v>1</v>
      </c>
    </row>
    <row r="497" spans="1:7">
      <c r="A497" s="355"/>
      <c r="B497" s="355"/>
      <c r="C497" s="356"/>
      <c r="D497" s="356"/>
      <c r="E497" s="356"/>
      <c r="F497" s="355"/>
      <c r="G497" s="355"/>
    </row>
    <row r="498" spans="1:7">
      <c r="A498" s="341" t="s">
        <v>1288</v>
      </c>
      <c r="B498" s="310"/>
      <c r="C498" s="309"/>
      <c r="D498" s="190"/>
      <c r="E498" s="190"/>
      <c r="F498" s="189"/>
      <c r="G498" s="189">
        <v>6</v>
      </c>
    </row>
    <row r="499" spans="1:7">
      <c r="A499" s="341" t="s">
        <v>1289</v>
      </c>
      <c r="B499" s="310"/>
      <c r="C499" s="309"/>
      <c r="D499" s="190"/>
      <c r="E499" s="190"/>
      <c r="F499" s="189"/>
      <c r="G499" s="225">
        <v>1</v>
      </c>
    </row>
    <row r="500" spans="1:7">
      <c r="A500" s="341"/>
      <c r="B500" s="310"/>
      <c r="C500" s="309"/>
      <c r="D500" s="190"/>
      <c r="E500" s="309" t="s">
        <v>780</v>
      </c>
      <c r="F500" s="189"/>
      <c r="G500" s="189"/>
    </row>
    <row r="501" spans="1:7">
      <c r="A501" s="357"/>
      <c r="B501" s="357"/>
      <c r="C501" s="357"/>
      <c r="D501" s="357"/>
      <c r="E501" s="357"/>
      <c r="F501" s="357"/>
      <c r="G501" s="357"/>
    </row>
    <row r="502" spans="1:7">
      <c r="A502" s="188" t="s">
        <v>1290</v>
      </c>
      <c r="B502" s="279"/>
      <c r="C502" s="190"/>
      <c r="D502" s="190"/>
      <c r="E502" s="190"/>
      <c r="F502" s="189"/>
      <c r="G502" s="189">
        <v>1</v>
      </c>
    </row>
    <row r="503" spans="1:7">
      <c r="A503" s="299"/>
      <c r="B503" s="308"/>
      <c r="C503" s="300"/>
      <c r="D503" s="221"/>
      <c r="E503" s="212" t="s">
        <v>779</v>
      </c>
      <c r="F503" s="213"/>
      <c r="G503" s="214">
        <f>SUM(G502)</f>
        <v>1</v>
      </c>
    </row>
    <row r="504" spans="1:7">
      <c r="A504" s="358"/>
      <c r="B504" s="358"/>
      <c r="C504" s="358"/>
      <c r="D504" s="358"/>
      <c r="E504" s="358"/>
      <c r="F504" s="358"/>
      <c r="G504" s="358"/>
    </row>
    <row r="505" spans="1:7">
      <c r="A505" s="188" t="s">
        <v>1291</v>
      </c>
      <c r="B505" s="279"/>
      <c r="C505" s="190"/>
      <c r="D505" s="190"/>
      <c r="E505" s="190"/>
      <c r="F505" s="189"/>
      <c r="G505" s="189">
        <v>6</v>
      </c>
    </row>
    <row r="506" spans="1:7">
      <c r="A506" s="299"/>
      <c r="B506" s="308"/>
      <c r="C506" s="300"/>
      <c r="D506" s="221"/>
      <c r="E506" s="212" t="s">
        <v>779</v>
      </c>
      <c r="F506" s="213"/>
      <c r="G506" s="214">
        <f>SUM(G505)</f>
        <v>6</v>
      </c>
    </row>
    <row r="507" spans="1:7">
      <c r="A507" s="358"/>
      <c r="B507" s="358"/>
      <c r="C507" s="358"/>
      <c r="D507" s="358"/>
      <c r="E507" s="358"/>
      <c r="F507" s="358"/>
      <c r="G507" s="358"/>
    </row>
    <row r="508" spans="1:7">
      <c r="A508" s="188" t="s">
        <v>1292</v>
      </c>
      <c r="B508" s="279"/>
      <c r="C508" s="190"/>
      <c r="D508" s="190"/>
      <c r="E508" s="190"/>
      <c r="F508" s="189"/>
      <c r="G508" s="189">
        <v>13</v>
      </c>
    </row>
    <row r="509" spans="1:7">
      <c r="A509" s="299"/>
      <c r="B509" s="308"/>
      <c r="C509" s="300"/>
      <c r="D509" s="221"/>
      <c r="E509" s="212" t="s">
        <v>779</v>
      </c>
      <c r="F509" s="213"/>
      <c r="G509" s="214">
        <f>SUM(G508)</f>
        <v>13</v>
      </c>
    </row>
    <row r="510" spans="1:7">
      <c r="A510" s="358"/>
      <c r="B510" s="358"/>
      <c r="C510" s="358"/>
      <c r="D510" s="358"/>
      <c r="E510" s="358"/>
      <c r="F510" s="358"/>
      <c r="G510" s="358"/>
    </row>
    <row r="511" spans="1:7">
      <c r="A511" s="181" t="s">
        <v>1293</v>
      </c>
      <c r="B511" s="182"/>
      <c r="C511" s="182"/>
      <c r="D511" s="182"/>
      <c r="E511" s="182"/>
      <c r="F511" s="182"/>
      <c r="G511" s="183"/>
    </row>
    <row r="512" spans="1:7">
      <c r="A512" s="184" t="s">
        <v>1026</v>
      </c>
      <c r="B512" s="185"/>
      <c r="C512" s="186"/>
      <c r="D512" s="186"/>
      <c r="E512" s="186"/>
      <c r="F512" s="185"/>
      <c r="G512" s="185" t="s">
        <v>1189</v>
      </c>
    </row>
    <row r="513" s="167" customFormat="1" ht="24.75" customHeight="1" spans="1:7">
      <c r="A513" s="341" t="s">
        <v>1294</v>
      </c>
      <c r="B513" s="189"/>
      <c r="C513" s="359" t="s">
        <v>1295</v>
      </c>
      <c r="D513" s="354"/>
      <c r="E513" s="354"/>
      <c r="F513" s="360"/>
      <c r="G513" s="189">
        <f>32.7+3.5*4+3</f>
        <v>49.7</v>
      </c>
    </row>
    <row r="514" s="167" customFormat="1" spans="1:7">
      <c r="A514" s="341" t="s">
        <v>1296</v>
      </c>
      <c r="B514" s="189"/>
      <c r="C514" s="359"/>
      <c r="D514" s="354"/>
      <c r="E514" s="354"/>
      <c r="F514" s="360"/>
      <c r="G514" s="189">
        <v>22.04</v>
      </c>
    </row>
    <row r="515" spans="1:7">
      <c r="A515" s="341" t="s">
        <v>1297</v>
      </c>
      <c r="B515" s="189"/>
      <c r="C515" s="359"/>
      <c r="D515" s="354"/>
      <c r="E515" s="354"/>
      <c r="F515" s="360"/>
      <c r="G515" s="189">
        <v>2.36</v>
      </c>
    </row>
    <row r="516" spans="1:7">
      <c r="A516" s="341"/>
      <c r="B516" s="352"/>
      <c r="C516" s="361"/>
      <c r="D516" s="361" t="s">
        <v>1087</v>
      </c>
      <c r="E516" s="361" t="s">
        <v>1298</v>
      </c>
      <c r="F516" s="360"/>
      <c r="G516" s="234" t="s">
        <v>1154</v>
      </c>
    </row>
    <row r="517" spans="1:7">
      <c r="A517" s="341" t="s">
        <v>500</v>
      </c>
      <c r="B517" s="352"/>
      <c r="C517" s="361"/>
      <c r="D517" s="362">
        <v>1.25</v>
      </c>
      <c r="E517" s="362">
        <v>0.39</v>
      </c>
      <c r="F517" s="360"/>
      <c r="G517" s="189">
        <f>ROUND(D517*E517,2)</f>
        <v>0.49</v>
      </c>
    </row>
    <row r="518" spans="1:7">
      <c r="A518" s="341" t="s">
        <v>73</v>
      </c>
      <c r="B518" s="352"/>
      <c r="C518" s="361"/>
      <c r="D518" s="362">
        <v>12.62</v>
      </c>
      <c r="E518" s="362"/>
      <c r="F518" s="360"/>
      <c r="G518" s="189"/>
    </row>
    <row r="519" spans="1:7">
      <c r="A519" s="341" t="s">
        <v>504</v>
      </c>
      <c r="B519" s="352"/>
      <c r="C519" s="361"/>
      <c r="D519" s="362">
        <f>D518*2</f>
        <v>25.24</v>
      </c>
      <c r="E519" s="362"/>
      <c r="F519" s="360"/>
      <c r="G519" s="189"/>
    </row>
    <row r="520" spans="1:7">
      <c r="A520" s="341"/>
      <c r="B520" s="363" t="s">
        <v>1299</v>
      </c>
      <c r="C520" s="361"/>
      <c r="D520" s="361" t="s">
        <v>1300</v>
      </c>
      <c r="E520" s="361"/>
      <c r="F520" s="360" t="s">
        <v>1301</v>
      </c>
      <c r="G520" s="347" t="s">
        <v>1302</v>
      </c>
    </row>
    <row r="521" spans="1:7">
      <c r="A521" s="341" t="s">
        <v>1303</v>
      </c>
      <c r="B521" s="364">
        <v>23.45</v>
      </c>
      <c r="C521" s="361"/>
      <c r="D521" s="362">
        <v>9.875</v>
      </c>
      <c r="E521" s="362"/>
      <c r="F521" s="365">
        <v>9.1</v>
      </c>
      <c r="G521" s="280">
        <f>B521+D521+F521</f>
        <v>42.425</v>
      </c>
    </row>
    <row r="522" spans="1:7">
      <c r="A522" s="341" t="s">
        <v>1304</v>
      </c>
      <c r="B522" s="364"/>
      <c r="C522" s="361"/>
      <c r="D522" s="362">
        <v>5.125</v>
      </c>
      <c r="E522" s="362"/>
      <c r="F522" s="365"/>
      <c r="G522" s="280">
        <f>D522</f>
        <v>5.125</v>
      </c>
    </row>
    <row r="523" spans="1:7">
      <c r="A523" s="341" t="s">
        <v>511</v>
      </c>
      <c r="B523" s="364"/>
      <c r="C523" s="361"/>
      <c r="D523" s="362">
        <v>4</v>
      </c>
      <c r="E523" s="362"/>
      <c r="F523" s="365"/>
      <c r="G523" s="280"/>
    </row>
    <row r="524" spans="1:7">
      <c r="A524" s="341"/>
      <c r="B524" s="352"/>
      <c r="C524" s="361"/>
      <c r="D524" s="361"/>
      <c r="E524" s="361"/>
      <c r="F524" s="360"/>
      <c r="G524" s="189"/>
    </row>
    <row r="525" ht="21" spans="1:7">
      <c r="A525" s="366" t="s">
        <v>1305</v>
      </c>
      <c r="B525" s="189"/>
      <c r="C525" s="233" t="s">
        <v>1124</v>
      </c>
      <c r="D525" s="233" t="s">
        <v>1306</v>
      </c>
      <c r="E525" s="233" t="s">
        <v>1307</v>
      </c>
      <c r="F525" s="347"/>
      <c r="G525" s="347" t="s">
        <v>1302</v>
      </c>
    </row>
    <row r="526" spans="1:7">
      <c r="A526" s="367"/>
      <c r="B526" s="352"/>
      <c r="C526" s="309">
        <v>12</v>
      </c>
      <c r="D526" s="190">
        <v>2.3</v>
      </c>
      <c r="E526" s="190">
        <v>0.7</v>
      </c>
      <c r="F526" s="360"/>
      <c r="G526" s="189">
        <f>ROUND((D526+E526)*C526,2)</f>
        <v>36</v>
      </c>
    </row>
    <row r="527" spans="1:7">
      <c r="A527" s="358"/>
      <c r="B527" s="358"/>
      <c r="C527" s="358"/>
      <c r="D527" s="358"/>
      <c r="E527" s="358"/>
      <c r="F527" s="358"/>
      <c r="G527" s="358"/>
    </row>
    <row r="528" spans="1:7">
      <c r="A528" s="181" t="s">
        <v>1308</v>
      </c>
      <c r="B528" s="182"/>
      <c r="C528" s="182"/>
      <c r="D528" s="182"/>
      <c r="E528" s="182"/>
      <c r="F528" s="182"/>
      <c r="G528" s="183"/>
    </row>
    <row r="529" spans="1:7">
      <c r="A529" s="184" t="s">
        <v>1026</v>
      </c>
      <c r="B529" s="185"/>
      <c r="C529" s="186"/>
      <c r="D529" s="186"/>
      <c r="E529" s="186"/>
      <c r="F529" s="185"/>
      <c r="G529" s="185" t="s">
        <v>1280</v>
      </c>
    </row>
    <row r="530" spans="1:7">
      <c r="A530" s="341" t="s">
        <v>1309</v>
      </c>
      <c r="B530" s="189"/>
      <c r="C530" s="359"/>
      <c r="D530" s="354"/>
      <c r="E530" s="354"/>
      <c r="F530" s="360"/>
      <c r="G530" s="349">
        <v>15</v>
      </c>
    </row>
    <row r="531" spans="1:7">
      <c r="A531" s="341" t="s">
        <v>1310</v>
      </c>
      <c r="B531" s="189"/>
      <c r="C531" s="359"/>
      <c r="D531" s="354"/>
      <c r="E531" s="354"/>
      <c r="F531" s="360"/>
      <c r="G531" s="349">
        <v>6</v>
      </c>
    </row>
    <row r="532" spans="1:7">
      <c r="A532" s="341" t="s">
        <v>1311</v>
      </c>
      <c r="B532" s="189"/>
      <c r="C532" s="359"/>
      <c r="D532" s="354"/>
      <c r="E532" s="354"/>
      <c r="F532" s="360"/>
      <c r="G532" s="349">
        <v>7</v>
      </c>
    </row>
    <row r="533" spans="1:7">
      <c r="A533" s="188" t="s">
        <v>1312</v>
      </c>
      <c r="B533" s="368"/>
      <c r="C533" s="359"/>
      <c r="D533" s="354"/>
      <c r="E533" s="354"/>
      <c r="F533" s="360"/>
      <c r="G533" s="349">
        <v>3</v>
      </c>
    </row>
    <row r="534" spans="1:7">
      <c r="A534" s="188" t="s">
        <v>1313</v>
      </c>
      <c r="B534" s="368"/>
      <c r="C534" s="359"/>
      <c r="D534" s="354"/>
      <c r="E534" s="354"/>
      <c r="F534" s="360"/>
      <c r="G534" s="349">
        <v>3</v>
      </c>
    </row>
    <row r="535" spans="1:7">
      <c r="A535" s="188" t="s">
        <v>1314</v>
      </c>
      <c r="B535" s="189"/>
      <c r="C535" s="359"/>
      <c r="D535" s="354"/>
      <c r="E535" s="354"/>
      <c r="F535" s="360"/>
      <c r="G535" s="349">
        <v>6</v>
      </c>
    </row>
    <row r="536" spans="1:7">
      <c r="A536" s="369" t="s">
        <v>1315</v>
      </c>
      <c r="B536" s="189"/>
      <c r="C536" s="359"/>
      <c r="D536" s="354"/>
      <c r="E536" s="354"/>
      <c r="F536" s="360"/>
      <c r="G536" s="349">
        <v>10</v>
      </c>
    </row>
    <row r="537" spans="1:7">
      <c r="A537" s="358"/>
      <c r="B537" s="358"/>
      <c r="C537" s="370"/>
      <c r="D537" s="370"/>
      <c r="E537" s="370"/>
      <c r="F537" s="358"/>
      <c r="G537" s="358"/>
    </row>
    <row r="538" spans="1:7">
      <c r="A538" s="181" t="s">
        <v>1316</v>
      </c>
      <c r="B538" s="182"/>
      <c r="C538" s="182"/>
      <c r="D538" s="182"/>
      <c r="E538" s="182"/>
      <c r="F538" s="182"/>
      <c r="G538" s="183"/>
    </row>
    <row r="539" spans="1:7">
      <c r="A539" s="184" t="s">
        <v>1026</v>
      </c>
      <c r="B539" s="185"/>
      <c r="C539" s="186"/>
      <c r="D539" s="186"/>
      <c r="E539" s="186"/>
      <c r="F539" s="185"/>
      <c r="G539" s="371" t="s">
        <v>1280</v>
      </c>
    </row>
    <row r="540" customHeight="1" spans="1:7">
      <c r="A540" s="372" t="s">
        <v>1317</v>
      </c>
      <c r="B540" s="222"/>
      <c r="C540" s="297"/>
      <c r="D540" s="297"/>
      <c r="E540" s="338" t="s">
        <v>1124</v>
      </c>
      <c r="F540" s="373" t="s">
        <v>1318</v>
      </c>
      <c r="G540" s="374" t="s">
        <v>1319</v>
      </c>
    </row>
    <row r="541" spans="1:7">
      <c r="A541" s="299" t="s">
        <v>1320</v>
      </c>
      <c r="B541" s="222"/>
      <c r="C541" s="338"/>
      <c r="D541" s="338"/>
      <c r="E541" s="221">
        <v>10</v>
      </c>
      <c r="F541" s="278">
        <f>3.1-2</f>
        <v>1.1</v>
      </c>
      <c r="G541" s="375">
        <f t="shared" ref="G541:G545" si="23">F541*E541</f>
        <v>11</v>
      </c>
    </row>
    <row r="542" spans="1:7">
      <c r="A542" s="299" t="s">
        <v>1321</v>
      </c>
      <c r="B542" s="222"/>
      <c r="C542" s="338"/>
      <c r="D542" s="338"/>
      <c r="E542" s="221">
        <v>33</v>
      </c>
      <c r="F542" s="278">
        <f t="shared" ref="F542:F544" si="24">3.1-1.2</f>
        <v>1.9</v>
      </c>
      <c r="G542" s="375">
        <f t="shared" si="23"/>
        <v>62.7</v>
      </c>
    </row>
    <row r="543" spans="1:7">
      <c r="A543" s="286" t="s">
        <v>1322</v>
      </c>
      <c r="B543" s="222"/>
      <c r="C543" s="338"/>
      <c r="D543" s="338"/>
      <c r="E543" s="221">
        <v>41</v>
      </c>
      <c r="F543" s="278">
        <f>3.1-0.3</f>
        <v>2.8</v>
      </c>
      <c r="G543" s="375">
        <f t="shared" si="23"/>
        <v>114.8</v>
      </c>
    </row>
    <row r="544" spans="1:7">
      <c r="A544" s="286" t="s">
        <v>1323</v>
      </c>
      <c r="B544" s="222"/>
      <c r="C544" s="338"/>
      <c r="D544" s="338"/>
      <c r="E544" s="221">
        <v>15</v>
      </c>
      <c r="F544" s="278">
        <f t="shared" si="24"/>
        <v>1.9</v>
      </c>
      <c r="G544" s="375">
        <f t="shared" si="23"/>
        <v>28.5</v>
      </c>
    </row>
    <row r="545" spans="1:7">
      <c r="A545" s="286" t="s">
        <v>1324</v>
      </c>
      <c r="B545" s="222"/>
      <c r="C545" s="338"/>
      <c r="D545" s="338"/>
      <c r="E545" s="221">
        <v>1</v>
      </c>
      <c r="F545" s="278">
        <v>42</v>
      </c>
      <c r="G545" s="375">
        <f t="shared" si="23"/>
        <v>42</v>
      </c>
    </row>
    <row r="546" spans="1:7">
      <c r="A546" s="286"/>
      <c r="B546" s="222"/>
      <c r="C546" s="221"/>
      <c r="D546" s="221"/>
      <c r="E546" s="376" t="s">
        <v>779</v>
      </c>
      <c r="F546" s="377"/>
      <c r="G546" s="378">
        <f>SUM(G541:G545)</f>
        <v>259</v>
      </c>
    </row>
    <row r="547" spans="1:7">
      <c r="A547" s="358"/>
      <c r="B547" s="358"/>
      <c r="C547" s="370"/>
      <c r="D547" s="370"/>
      <c r="E547" s="370"/>
      <c r="F547" s="358"/>
      <c r="G547" s="358"/>
    </row>
    <row r="548" spans="1:7">
      <c r="A548" s="181" t="s">
        <v>1325</v>
      </c>
      <c r="B548" s="182"/>
      <c r="C548" s="182"/>
      <c r="D548" s="182"/>
      <c r="E548" s="182"/>
      <c r="F548" s="182"/>
      <c r="G548" s="183"/>
    </row>
    <row r="549" spans="1:9">
      <c r="A549" s="184" t="s">
        <v>1026</v>
      </c>
      <c r="B549" s="185"/>
      <c r="C549" s="186"/>
      <c r="D549" s="186"/>
      <c r="E549" s="186" t="s">
        <v>1326</v>
      </c>
      <c r="G549" s="185" t="s">
        <v>1280</v>
      </c>
      <c r="I549" s="393"/>
    </row>
    <row r="550" spans="1:9">
      <c r="A550" s="372" t="s">
        <v>1317</v>
      </c>
      <c r="B550" s="222"/>
      <c r="C550" s="297"/>
      <c r="D550" s="297"/>
      <c r="E550" s="338" t="s">
        <v>1124</v>
      </c>
      <c r="F550" s="339" t="s">
        <v>1318</v>
      </c>
      <c r="G550" s="379" t="s">
        <v>1319</v>
      </c>
      <c r="I550" s="393"/>
    </row>
    <row r="551" spans="1:9">
      <c r="A551" s="286" t="s">
        <v>1327</v>
      </c>
      <c r="B551" s="222"/>
      <c r="C551" s="338"/>
      <c r="D551" s="338"/>
      <c r="E551" s="221">
        <v>16</v>
      </c>
      <c r="F551" s="278">
        <f>3.1-0.3</f>
        <v>2.8</v>
      </c>
      <c r="G551" s="375">
        <f>F551*E551</f>
        <v>44.8</v>
      </c>
      <c r="I551" s="393"/>
    </row>
    <row r="552" spans="1:7">
      <c r="A552" s="358"/>
      <c r="B552" s="358"/>
      <c r="C552" s="370"/>
      <c r="D552" s="370"/>
      <c r="E552" s="370"/>
      <c r="F552" s="358"/>
      <c r="G552" s="358"/>
    </row>
    <row r="553" spans="1:9">
      <c r="A553" s="181" t="s">
        <v>1328</v>
      </c>
      <c r="B553" s="182"/>
      <c r="C553" s="182"/>
      <c r="D553" s="182"/>
      <c r="E553" s="182"/>
      <c r="F553" s="182"/>
      <c r="G553" s="183"/>
      <c r="I553" s="393"/>
    </row>
    <row r="554" spans="1:9">
      <c r="A554" s="184" t="s">
        <v>1026</v>
      </c>
      <c r="B554" s="185"/>
      <c r="C554" s="186"/>
      <c r="D554" s="186" t="s">
        <v>1329</v>
      </c>
      <c r="E554" s="217"/>
      <c r="F554" s="185" t="s">
        <v>1330</v>
      </c>
      <c r="G554" s="185" t="s">
        <v>779</v>
      </c>
      <c r="I554" s="393"/>
    </row>
    <row r="555" ht="22.5" spans="1:9">
      <c r="A555" s="188" t="s">
        <v>704</v>
      </c>
      <c r="B555" s="189"/>
      <c r="C555" s="190"/>
      <c r="D555" s="190">
        <v>61</v>
      </c>
      <c r="E555" s="190"/>
      <c r="F555" s="380">
        <v>0.0625</v>
      </c>
      <c r="G555" s="189">
        <f>ROUND(D555*F555,2)</f>
        <v>3.81</v>
      </c>
      <c r="I555" s="393"/>
    </row>
    <row r="556" ht="22.5" spans="1:9">
      <c r="A556" s="188" t="s">
        <v>706</v>
      </c>
      <c r="B556" s="189"/>
      <c r="C556" s="190"/>
      <c r="D556" s="190">
        <v>74</v>
      </c>
      <c r="E556" s="190"/>
      <c r="F556" s="380">
        <f>0.25*0.25</f>
        <v>0.0625</v>
      </c>
      <c r="G556" s="189">
        <f>ROUND(D556*F556,2)</f>
        <v>4.63</v>
      </c>
      <c r="I556" s="393"/>
    </row>
    <row r="557" spans="1:9">
      <c r="A557" s="358"/>
      <c r="B557" s="358"/>
      <c r="C557" s="370"/>
      <c r="D557" s="370"/>
      <c r="E557" s="370"/>
      <c r="F557" s="358"/>
      <c r="G557" s="358"/>
      <c r="I557" s="393"/>
    </row>
    <row r="558" spans="1:9">
      <c r="A558" s="181" t="s">
        <v>1331</v>
      </c>
      <c r="B558" s="182"/>
      <c r="C558" s="182"/>
      <c r="D558" s="182"/>
      <c r="E558" s="182"/>
      <c r="F558" s="182"/>
      <c r="G558" s="183"/>
      <c r="I558" s="393"/>
    </row>
    <row r="559" spans="1:9">
      <c r="A559" s="184" t="s">
        <v>1026</v>
      </c>
      <c r="B559" s="185"/>
      <c r="C559" s="186"/>
      <c r="D559" s="186" t="s">
        <v>1080</v>
      </c>
      <c r="E559" s="381" t="s">
        <v>1087</v>
      </c>
      <c r="F559" s="185"/>
      <c r="G559" s="185" t="s">
        <v>1332</v>
      </c>
      <c r="I559" s="393"/>
    </row>
    <row r="560" spans="1:9">
      <c r="A560" s="382" t="s">
        <v>1333</v>
      </c>
      <c r="B560" s="383"/>
      <c r="C560" s="381"/>
      <c r="D560" s="384">
        <f>9.56+4.8+1.98+6.75*2+0.98+2.02+23.45+9.82+35</f>
        <v>101.11</v>
      </c>
      <c r="E560" s="384"/>
      <c r="F560" s="383"/>
      <c r="G560" s="383"/>
      <c r="I560" s="393"/>
    </row>
    <row r="561" spans="1:9">
      <c r="A561" s="382" t="s">
        <v>1334</v>
      </c>
      <c r="B561" s="383"/>
      <c r="C561" s="381"/>
      <c r="D561" s="384"/>
      <c r="E561" s="385">
        <v>21</v>
      </c>
      <c r="F561" s="383"/>
      <c r="G561" s="383"/>
      <c r="I561" s="393"/>
    </row>
    <row r="562" spans="1:9">
      <c r="A562" s="382" t="s">
        <v>1335</v>
      </c>
      <c r="B562" s="383"/>
      <c r="C562" s="381"/>
      <c r="D562" s="384"/>
      <c r="E562" s="385">
        <v>174.26</v>
      </c>
      <c r="F562" s="383"/>
      <c r="G562" s="383"/>
      <c r="I562" s="393"/>
    </row>
    <row r="563" spans="1:9">
      <c r="A563" s="382" t="s">
        <v>1336</v>
      </c>
      <c r="B563" s="383"/>
      <c r="C563" s="381"/>
      <c r="D563" s="384"/>
      <c r="E563" s="385">
        <f>17.51+16.42</f>
        <v>33.93</v>
      </c>
      <c r="F563" s="383"/>
      <c r="G563" s="383"/>
      <c r="I563" s="393"/>
    </row>
    <row r="564" spans="1:9">
      <c r="A564" s="382" t="s">
        <v>1337</v>
      </c>
      <c r="B564" s="383"/>
      <c r="C564" s="381"/>
      <c r="D564" s="384"/>
      <c r="E564" s="385">
        <f>6.63+61.73</f>
        <v>68.36</v>
      </c>
      <c r="F564" s="383"/>
      <c r="G564" s="383"/>
      <c r="I564" s="393"/>
    </row>
    <row r="565" spans="1:9">
      <c r="A565" s="382" t="s">
        <v>1338</v>
      </c>
      <c r="B565" s="383"/>
      <c r="C565" s="381"/>
      <c r="D565" s="384"/>
      <c r="E565" s="385">
        <f>15*3</f>
        <v>45</v>
      </c>
      <c r="F565" s="383"/>
      <c r="G565" s="383"/>
      <c r="I565" s="393"/>
    </row>
    <row r="566" spans="1:9">
      <c r="A566" s="383"/>
      <c r="B566" s="383"/>
      <c r="C566" s="381"/>
      <c r="D566" s="381"/>
      <c r="E566" s="381"/>
      <c r="F566" s="383"/>
      <c r="G566" s="383"/>
      <c r="I566" s="393"/>
    </row>
    <row r="567" spans="1:9">
      <c r="A567" s="181" t="s">
        <v>1339</v>
      </c>
      <c r="B567" s="182"/>
      <c r="C567" s="182"/>
      <c r="D567" s="182"/>
      <c r="E567" s="182"/>
      <c r="F567" s="182"/>
      <c r="G567" s="183"/>
      <c r="I567" s="393"/>
    </row>
    <row r="568" spans="1:9">
      <c r="A568" s="184" t="s">
        <v>1026</v>
      </c>
      <c r="B568" s="185"/>
      <c r="C568" s="186" t="s">
        <v>1318</v>
      </c>
      <c r="D568" s="186" t="s">
        <v>1340</v>
      </c>
      <c r="E568" s="186" t="s">
        <v>1341</v>
      </c>
      <c r="F568" s="185" t="s">
        <v>1182</v>
      </c>
      <c r="G568" s="185" t="s">
        <v>1342</v>
      </c>
      <c r="I568" s="393"/>
    </row>
    <row r="569" spans="1:9">
      <c r="A569" s="307" t="s">
        <v>1343</v>
      </c>
      <c r="B569" s="322"/>
      <c r="C569" s="196">
        <f>1.3*2+1*2</f>
        <v>4.6</v>
      </c>
      <c r="D569" s="196">
        <v>2.5</v>
      </c>
      <c r="E569" s="196"/>
      <c r="F569" s="322">
        <f>ROUND(C569*D569,2)</f>
        <v>11.5</v>
      </c>
      <c r="G569" s="322"/>
      <c r="I569" s="393"/>
    </row>
    <row r="570" spans="1:9">
      <c r="A570" s="307" t="s">
        <v>1344</v>
      </c>
      <c r="B570" s="322"/>
      <c r="C570" s="196"/>
      <c r="D570" s="196"/>
      <c r="E570" s="196"/>
      <c r="F570" s="322">
        <v>1</v>
      </c>
      <c r="G570" s="322"/>
      <c r="I570" s="393"/>
    </row>
    <row r="571" spans="1:9">
      <c r="A571" s="330" t="s">
        <v>1345</v>
      </c>
      <c r="B571" s="322"/>
      <c r="C571" s="196">
        <v>1.5</v>
      </c>
      <c r="D571" s="196"/>
      <c r="E571" s="196">
        <v>1.5</v>
      </c>
      <c r="F571" s="322">
        <v>2.25</v>
      </c>
      <c r="G571" s="322"/>
      <c r="I571" s="393"/>
    </row>
    <row r="572" spans="1:9">
      <c r="A572" s="307" t="s">
        <v>1346</v>
      </c>
      <c r="B572" s="322"/>
      <c r="C572" s="196">
        <v>3.48</v>
      </c>
      <c r="D572" s="196">
        <v>0.15</v>
      </c>
      <c r="E572" s="196">
        <v>1.35</v>
      </c>
      <c r="F572" s="322"/>
      <c r="G572" s="322">
        <f>ROUND(C572*D572*E572,2)</f>
        <v>0.7</v>
      </c>
      <c r="I572" s="393"/>
    </row>
    <row r="573" spans="1:9">
      <c r="A573" s="307"/>
      <c r="B573" s="322"/>
      <c r="C573" s="196"/>
      <c r="D573" s="196"/>
      <c r="E573" s="196"/>
      <c r="F573" s="322"/>
      <c r="G573" s="322"/>
      <c r="I573" s="393"/>
    </row>
    <row r="574" spans="1:9">
      <c r="A574" s="358"/>
      <c r="B574" s="358"/>
      <c r="C574" s="370"/>
      <c r="D574" s="370"/>
      <c r="E574" s="370"/>
      <c r="F574" s="358"/>
      <c r="G574" s="358"/>
      <c r="I574" s="393"/>
    </row>
    <row r="575" spans="1:9">
      <c r="A575" s="386" t="s">
        <v>1347</v>
      </c>
      <c r="B575" s="387"/>
      <c r="C575" s="387"/>
      <c r="D575" s="387"/>
      <c r="E575" s="387"/>
      <c r="F575" s="387"/>
      <c r="G575" s="388"/>
      <c r="I575" s="393"/>
    </row>
    <row r="576" ht="31.5" spans="1:7">
      <c r="A576" s="389" t="s">
        <v>1348</v>
      </c>
      <c r="B576" s="390" t="s">
        <v>8</v>
      </c>
      <c r="C576" s="391" t="s">
        <v>1349</v>
      </c>
      <c r="D576" s="391" t="s">
        <v>1350</v>
      </c>
      <c r="E576" s="390" t="s">
        <v>779</v>
      </c>
      <c r="F576" s="390" t="s">
        <v>1351</v>
      </c>
      <c r="G576" s="392" t="s">
        <v>1352</v>
      </c>
    </row>
    <row r="577" spans="1:7">
      <c r="A577" s="394" t="s">
        <v>1353</v>
      </c>
      <c r="B577" s="395">
        <v>768.87</v>
      </c>
      <c r="C577" s="396"/>
      <c r="D577" s="396"/>
      <c r="E577" s="396"/>
      <c r="F577" s="397"/>
      <c r="G577" s="398"/>
    </row>
    <row r="578" ht="22.5" spans="1:7">
      <c r="A578" s="399" t="s">
        <v>1354</v>
      </c>
      <c r="B578" s="400"/>
      <c r="C578" s="401" t="s">
        <v>1355</v>
      </c>
      <c r="D578" s="401">
        <f>0.2334*0.02793*B577</f>
        <v>5.01215742594</v>
      </c>
      <c r="E578" s="402">
        <f>SUM(D578:D581)</f>
        <v>21.63926488428</v>
      </c>
      <c r="F578" s="403"/>
      <c r="G578" s="404"/>
    </row>
    <row r="579" ht="22.5" spans="1:7">
      <c r="A579" s="399" t="s">
        <v>1356</v>
      </c>
      <c r="B579" s="400"/>
      <c r="C579" s="401" t="s">
        <v>1355</v>
      </c>
      <c r="D579" s="401">
        <f>0.2028*0.02793*B577</f>
        <v>4.35503652948</v>
      </c>
      <c r="E579" s="405"/>
      <c r="F579" s="403" t="s">
        <v>1357</v>
      </c>
      <c r="G579" s="404">
        <f>E578*1.9</f>
        <v>41.114603280132</v>
      </c>
    </row>
    <row r="580" ht="22.5" spans="1:7">
      <c r="A580" s="399" t="s">
        <v>1358</v>
      </c>
      <c r="B580" s="400"/>
      <c r="C580" s="401" t="s">
        <v>1355</v>
      </c>
      <c r="D580" s="401">
        <f>0.247*B577*0.02831</f>
        <v>5.3763772959</v>
      </c>
      <c r="E580" s="405"/>
      <c r="F580" s="403"/>
      <c r="G580" s="404"/>
    </row>
    <row r="581" ht="22.5" spans="1:7">
      <c r="A581" s="399" t="s">
        <v>1359</v>
      </c>
      <c r="B581" s="400"/>
      <c r="C581" s="401" t="s">
        <v>1355</v>
      </c>
      <c r="D581" s="401">
        <f>B577*0.3168*0.02831</f>
        <v>6.89569363296</v>
      </c>
      <c r="E581" s="406"/>
      <c r="F581" s="403"/>
      <c r="G581" s="404"/>
    </row>
    <row r="582" spans="1:7">
      <c r="A582" s="399" t="s">
        <v>1360</v>
      </c>
      <c r="B582" s="400"/>
      <c r="C582" s="401" t="s">
        <v>1361</v>
      </c>
      <c r="D582" s="401">
        <f>B577*1*0.0098*185.63</f>
        <v>1398.70831338</v>
      </c>
      <c r="E582" s="401">
        <f>D582</f>
        <v>1398.70831338</v>
      </c>
      <c r="F582" s="403"/>
      <c r="G582" s="404">
        <f>E582/1000</f>
        <v>1.39870831338</v>
      </c>
    </row>
    <row r="583" spans="1:7">
      <c r="A583" s="399" t="s">
        <v>1362</v>
      </c>
      <c r="B583" s="400"/>
      <c r="C583" s="401" t="s">
        <v>1363</v>
      </c>
      <c r="D583" s="401">
        <f>B577*1*0.0098*193.7</f>
        <v>1459.5151662</v>
      </c>
      <c r="E583" s="401">
        <f>D583</f>
        <v>1459.5151662</v>
      </c>
      <c r="F583" s="403"/>
      <c r="G583" s="404">
        <f>E583/1000</f>
        <v>1.4595151662</v>
      </c>
    </row>
    <row r="584" spans="1:7">
      <c r="A584" s="399" t="s">
        <v>1364</v>
      </c>
      <c r="B584" s="400"/>
      <c r="C584" s="401" t="s">
        <v>1365</v>
      </c>
      <c r="D584" s="401">
        <f>B577*0.0098*1.29</f>
        <v>9.72005454</v>
      </c>
      <c r="E584" s="401">
        <f>D584</f>
        <v>9.72005454</v>
      </c>
      <c r="F584" s="403">
        <v>1.6</v>
      </c>
      <c r="G584" s="404">
        <f>ROUND(E584*F584,2)</f>
        <v>15.55</v>
      </c>
    </row>
    <row r="585" spans="1:7">
      <c r="A585" s="407"/>
      <c r="B585" s="408"/>
      <c r="C585" s="409"/>
      <c r="D585" s="409"/>
      <c r="E585" s="409"/>
      <c r="F585" s="410"/>
      <c r="G585" s="411"/>
    </row>
    <row r="586" spans="1:7">
      <c r="A586" s="394" t="s">
        <v>1366</v>
      </c>
      <c r="B586" s="395">
        <v>1592.8</v>
      </c>
      <c r="C586" s="412"/>
      <c r="D586" s="412"/>
      <c r="E586" s="412"/>
      <c r="F586" s="413"/>
      <c r="G586" s="414"/>
    </row>
    <row r="587" spans="1:7">
      <c r="A587" s="415" t="s">
        <v>1360</v>
      </c>
      <c r="B587" s="416"/>
      <c r="C587" s="384" t="s">
        <v>1361</v>
      </c>
      <c r="D587" s="384">
        <f>1*0.0379*185.63*B586</f>
        <v>11205.9484856</v>
      </c>
      <c r="E587" s="384">
        <f>D587</f>
        <v>11205.9484856</v>
      </c>
      <c r="F587" s="417"/>
      <c r="G587" s="418">
        <f>E587/1000</f>
        <v>11.2059484856</v>
      </c>
    </row>
    <row r="588" spans="1:7">
      <c r="A588" s="415" t="s">
        <v>1362</v>
      </c>
      <c r="B588" s="416"/>
      <c r="C588" s="384" t="s">
        <v>1363</v>
      </c>
      <c r="D588" s="384">
        <f>1*0.0379*193.7*B586</f>
        <v>11693.111144</v>
      </c>
      <c r="E588" s="384">
        <f>D588</f>
        <v>11693.111144</v>
      </c>
      <c r="F588" s="417"/>
      <c r="G588" s="418">
        <f>E588/1000</f>
        <v>11.693111144</v>
      </c>
    </row>
    <row r="589" spans="1:7">
      <c r="A589" s="415" t="s">
        <v>1364</v>
      </c>
      <c r="B589" s="416"/>
      <c r="C589" s="384" t="s">
        <v>1365</v>
      </c>
      <c r="D589" s="384">
        <f>1*0.0379*1.29*B586</f>
        <v>77.8735848</v>
      </c>
      <c r="E589" s="384">
        <f>D589</f>
        <v>77.8735848</v>
      </c>
      <c r="F589" s="417">
        <v>1.48</v>
      </c>
      <c r="G589" s="418">
        <f>ROUND(E589*F589,2)</f>
        <v>115.25</v>
      </c>
    </row>
    <row r="590" spans="1:7">
      <c r="A590" s="407"/>
      <c r="B590" s="408"/>
      <c r="C590" s="409"/>
      <c r="D590" s="409"/>
      <c r="E590" s="409"/>
      <c r="F590" s="410"/>
      <c r="G590" s="411"/>
    </row>
    <row r="591" spans="1:7">
      <c r="A591" s="394" t="s">
        <v>1367</v>
      </c>
      <c r="B591" s="395">
        <v>82.45</v>
      </c>
      <c r="C591" s="412"/>
      <c r="D591" s="412"/>
      <c r="E591" s="412"/>
      <c r="F591" s="413"/>
      <c r="G591" s="414"/>
    </row>
    <row r="592" spans="1:7">
      <c r="A592" s="399"/>
      <c r="B592" s="400"/>
      <c r="C592" s="401" t="s">
        <v>1361</v>
      </c>
      <c r="D592" s="401">
        <f>B591*362.66</f>
        <v>29901.317</v>
      </c>
      <c r="E592" s="401">
        <f>D592</f>
        <v>29901.317</v>
      </c>
      <c r="F592" s="403"/>
      <c r="G592" s="404">
        <f>E592/1000</f>
        <v>29.901317</v>
      </c>
    </row>
    <row r="593" spans="1:7">
      <c r="A593" s="399"/>
      <c r="B593" s="400"/>
      <c r="C593" s="401" t="s">
        <v>1365</v>
      </c>
      <c r="D593" s="401">
        <f>B591*0.751</f>
        <v>61.91995</v>
      </c>
      <c r="E593" s="401">
        <f t="shared" ref="E593:E594" si="25">D593</f>
        <v>61.91995</v>
      </c>
      <c r="F593" s="403">
        <v>1.48</v>
      </c>
      <c r="G593" s="404">
        <f>F593*E593</f>
        <v>91.641526</v>
      </c>
    </row>
    <row r="594" spans="1:7">
      <c r="A594" s="399"/>
      <c r="B594" s="400"/>
      <c r="C594" s="401" t="s">
        <v>1368</v>
      </c>
      <c r="D594" s="401">
        <f>0.593*B591</f>
        <v>48.89285</v>
      </c>
      <c r="E594" s="401">
        <f t="shared" si="25"/>
        <v>48.89285</v>
      </c>
      <c r="F594" s="403">
        <v>1.3</v>
      </c>
      <c r="G594" s="404">
        <f>F594*E594</f>
        <v>63.560705</v>
      </c>
    </row>
    <row r="595" spans="1:7">
      <c r="A595" s="407"/>
      <c r="B595" s="408"/>
      <c r="C595" s="409"/>
      <c r="D595" s="409"/>
      <c r="E595" s="409"/>
      <c r="F595" s="410"/>
      <c r="G595" s="411"/>
    </row>
    <row r="596" spans="1:7">
      <c r="A596" s="394" t="s">
        <v>1369</v>
      </c>
      <c r="B596" s="395">
        <v>203.74</v>
      </c>
      <c r="C596" s="412"/>
      <c r="D596" s="412"/>
      <c r="E596" s="412"/>
      <c r="F596" s="413" t="s">
        <v>1370</v>
      </c>
      <c r="G596" s="414">
        <f>2.04*B596/1000</f>
        <v>0.4156296</v>
      </c>
    </row>
    <row r="597" spans="1:7">
      <c r="A597" s="407"/>
      <c r="B597" s="408"/>
      <c r="C597" s="409"/>
      <c r="D597" s="409"/>
      <c r="E597" s="409"/>
      <c r="F597" s="410"/>
      <c r="G597" s="411"/>
    </row>
    <row r="598" spans="1:7">
      <c r="A598" s="394" t="s">
        <v>1371</v>
      </c>
      <c r="B598" s="395">
        <v>146.93</v>
      </c>
      <c r="C598" s="412"/>
      <c r="D598" s="412"/>
      <c r="E598" s="412"/>
      <c r="F598" s="413"/>
      <c r="G598" s="414"/>
    </row>
    <row r="599" spans="1:7">
      <c r="A599" s="399" t="s">
        <v>1372</v>
      </c>
      <c r="B599" s="400"/>
      <c r="C599" s="401" t="s">
        <v>1373</v>
      </c>
      <c r="D599" s="401">
        <f>B598*1.335*0.263</f>
        <v>51.58785765</v>
      </c>
      <c r="E599" s="401"/>
      <c r="F599" s="403" t="s">
        <v>1374</v>
      </c>
      <c r="G599" s="404">
        <f>ROUND(12*D599,2)/1000</f>
        <v>0.61905</v>
      </c>
    </row>
    <row r="600" spans="1:7">
      <c r="A600" s="399" t="s">
        <v>1375</v>
      </c>
      <c r="B600" s="400"/>
      <c r="C600" s="401" t="s">
        <v>1376</v>
      </c>
      <c r="D600" s="401">
        <f>B598*0.263*2.307</f>
        <v>89.14845513</v>
      </c>
      <c r="E600" s="401"/>
      <c r="F600" s="403" t="s">
        <v>1377</v>
      </c>
      <c r="G600" s="404">
        <f>ROUND(D600*0.075*0.075*0.7,2)</f>
        <v>0.35</v>
      </c>
    </row>
    <row r="601" spans="1:7">
      <c r="A601" s="399" t="s">
        <v>1378</v>
      </c>
      <c r="B601" s="400"/>
      <c r="C601" s="401" t="s">
        <v>1376</v>
      </c>
      <c r="D601" s="401">
        <f>B598*8.291*0.263</f>
        <v>320.38571369</v>
      </c>
      <c r="E601" s="401"/>
      <c r="F601" s="403" t="s">
        <v>1377</v>
      </c>
      <c r="G601" s="403">
        <f>ROUND(D601*0.025*0.075*0.7,2)</f>
        <v>0.42</v>
      </c>
    </row>
    <row r="602" spans="1:7">
      <c r="A602" s="407"/>
      <c r="B602" s="408"/>
      <c r="C602" s="409"/>
      <c r="D602" s="409"/>
      <c r="E602" s="409"/>
      <c r="F602" s="410"/>
      <c r="G602" s="411"/>
    </row>
    <row r="603" spans="1:7">
      <c r="A603" s="394" t="s">
        <v>1379</v>
      </c>
      <c r="B603" s="395">
        <v>172.33</v>
      </c>
      <c r="C603" s="419"/>
      <c r="D603" s="419"/>
      <c r="E603" s="419"/>
      <c r="F603" s="420"/>
      <c r="G603" s="421"/>
    </row>
    <row r="604" spans="1:7">
      <c r="A604" s="407"/>
      <c r="B604" s="408"/>
      <c r="C604" s="409"/>
      <c r="D604" s="409"/>
      <c r="E604" s="409"/>
      <c r="F604" s="410"/>
      <c r="G604" s="411"/>
    </row>
    <row r="605" spans="1:7">
      <c r="A605" s="399" t="s">
        <v>1380</v>
      </c>
      <c r="B605" s="400"/>
      <c r="C605" s="401" t="s">
        <v>1376</v>
      </c>
      <c r="D605" s="401">
        <f>0.419*B603*4.118</f>
        <v>297.34541986</v>
      </c>
      <c r="E605" s="401"/>
      <c r="F605" s="403" t="s">
        <v>1377</v>
      </c>
      <c r="G605" s="404">
        <f>ROUND(D605*0.025*0.3*0.7,2)</f>
        <v>1.56</v>
      </c>
    </row>
    <row r="606" spans="1:7">
      <c r="A606" s="399" t="s">
        <v>1381</v>
      </c>
      <c r="B606" s="400"/>
      <c r="C606" s="401" t="s">
        <v>1376</v>
      </c>
      <c r="D606" s="401">
        <f>0.419*B603*3.707</f>
        <v>267.66864289</v>
      </c>
      <c r="E606" s="401"/>
      <c r="F606" s="403" t="s">
        <v>1377</v>
      </c>
      <c r="G606" s="404">
        <f>ROUND(D606*0.025*0.07*0.7,2)</f>
        <v>0.33</v>
      </c>
    </row>
    <row r="607" spans="1:7">
      <c r="A607" s="399" t="s">
        <v>1382</v>
      </c>
      <c r="B607" s="400"/>
      <c r="C607" s="401" t="s">
        <v>1376</v>
      </c>
      <c r="D607" s="401">
        <f>1.879*B603*1.485</f>
        <v>480.85498395</v>
      </c>
      <c r="E607" s="401"/>
      <c r="F607" s="403" t="s">
        <v>1377</v>
      </c>
      <c r="G607" s="404">
        <f>ROUND(D607*0.075*0.075*0.7,2)</f>
        <v>1.89</v>
      </c>
    </row>
    <row r="608" spans="1:7">
      <c r="A608" s="344"/>
      <c r="B608" s="408"/>
      <c r="C608" s="217"/>
      <c r="D608" s="217"/>
      <c r="E608" s="409"/>
      <c r="F608" s="410"/>
      <c r="G608" s="411"/>
    </row>
    <row r="609" spans="1:7">
      <c r="A609" s="394" t="s">
        <v>1383</v>
      </c>
      <c r="B609" s="413">
        <v>142.12</v>
      </c>
      <c r="C609" s="412"/>
      <c r="D609" s="412"/>
      <c r="E609" s="412"/>
      <c r="F609" s="413"/>
      <c r="G609" s="414"/>
    </row>
    <row r="610" ht="22.5" spans="1:7">
      <c r="A610" s="399" t="s">
        <v>1384</v>
      </c>
      <c r="B610" s="422"/>
      <c r="C610" s="401" t="s">
        <v>1385</v>
      </c>
      <c r="D610" s="402">
        <f>B609*1.07</f>
        <v>152.0684</v>
      </c>
      <c r="E610" s="401">
        <f>D610</f>
        <v>152.0684</v>
      </c>
      <c r="F610" s="403" t="s">
        <v>1386</v>
      </c>
      <c r="G610" s="404">
        <f>ROUND(E610*20.25,2)/1000</f>
        <v>3.07939</v>
      </c>
    </row>
    <row r="611" spans="1:7">
      <c r="A611" s="407"/>
      <c r="B611" s="408"/>
      <c r="C611" s="409"/>
      <c r="D611" s="409"/>
      <c r="E611" s="409"/>
      <c r="F611" s="410"/>
      <c r="G611" s="411"/>
    </row>
    <row r="612" spans="1:7">
      <c r="A612" s="394" t="s">
        <v>1387</v>
      </c>
      <c r="B612" s="413">
        <v>1235.574</v>
      </c>
      <c r="C612" s="412"/>
      <c r="D612" s="412"/>
      <c r="E612" s="412"/>
      <c r="F612" s="413"/>
      <c r="G612" s="414"/>
    </row>
    <row r="613" spans="1:7">
      <c r="A613" s="399" t="s">
        <v>1388</v>
      </c>
      <c r="B613" s="400"/>
      <c r="C613" s="401" t="s">
        <v>1389</v>
      </c>
      <c r="D613" s="401">
        <f>0.33*B612</f>
        <v>407.73942</v>
      </c>
      <c r="E613" s="401"/>
      <c r="F613" s="403" t="s">
        <v>1390</v>
      </c>
      <c r="G613" s="404">
        <f>ROUND(1.5*D613,2)/1000</f>
        <v>0.61161</v>
      </c>
    </row>
    <row r="614" spans="1:7">
      <c r="A614" s="407"/>
      <c r="B614" s="408"/>
      <c r="C614" s="409"/>
      <c r="D614" s="409"/>
      <c r="E614" s="409"/>
      <c r="F614" s="410"/>
      <c r="G614" s="411"/>
    </row>
    <row r="615" spans="1:7">
      <c r="A615" s="394" t="s">
        <v>1391</v>
      </c>
      <c r="B615" s="413">
        <v>20.377</v>
      </c>
      <c r="C615" s="412"/>
      <c r="D615" s="412"/>
      <c r="E615" s="412"/>
      <c r="F615" s="413"/>
      <c r="G615" s="414"/>
    </row>
    <row r="616" spans="1:7">
      <c r="A616" s="399" t="s">
        <v>1360</v>
      </c>
      <c r="B616" s="400"/>
      <c r="C616" s="401" t="s">
        <v>1361</v>
      </c>
      <c r="D616" s="401">
        <f>B615*212.12</f>
        <v>4322.36924</v>
      </c>
      <c r="E616" s="401">
        <f>D616</f>
        <v>4322.36924</v>
      </c>
      <c r="F616" s="403"/>
      <c r="G616" s="404">
        <f>E616/1000</f>
        <v>4.32236924</v>
      </c>
    </row>
    <row r="617" spans="1:7">
      <c r="A617" s="399" t="s">
        <v>1392</v>
      </c>
      <c r="B617" s="400"/>
      <c r="C617" s="401" t="s">
        <v>1393</v>
      </c>
      <c r="D617" s="401">
        <f>0.579*B615</f>
        <v>11.798283</v>
      </c>
      <c r="E617" s="401"/>
      <c r="F617" s="403">
        <v>1.3</v>
      </c>
      <c r="G617" s="404">
        <f>D617*F617</f>
        <v>15.3377679</v>
      </c>
    </row>
    <row r="618" spans="1:7">
      <c r="A618" s="399" t="s">
        <v>1364</v>
      </c>
      <c r="B618" s="400"/>
      <c r="C618" s="401" t="s">
        <v>1365</v>
      </c>
      <c r="D618" s="401">
        <f>0.859*B615</f>
        <v>17.503843</v>
      </c>
      <c r="E618" s="401"/>
      <c r="F618" s="403">
        <v>1.48</v>
      </c>
      <c r="G618" s="404">
        <f>D618*F618</f>
        <v>25.90568764</v>
      </c>
    </row>
    <row r="619" spans="1:7">
      <c r="A619" s="407"/>
      <c r="B619" s="408"/>
      <c r="C619" s="409"/>
      <c r="D619" s="409"/>
      <c r="E619" s="409"/>
      <c r="F619" s="410"/>
      <c r="G619" s="411"/>
    </row>
    <row r="620" spans="1:7">
      <c r="A620" s="394" t="s">
        <v>1394</v>
      </c>
      <c r="B620" s="413">
        <v>263.38</v>
      </c>
      <c r="C620" s="412"/>
      <c r="D620" s="412"/>
      <c r="E620" s="412"/>
      <c r="F620" s="413"/>
      <c r="G620" s="414"/>
    </row>
    <row r="621" spans="1:7">
      <c r="A621" s="399" t="s">
        <v>1395</v>
      </c>
      <c r="B621" s="400"/>
      <c r="C621" s="401" t="s">
        <v>1376</v>
      </c>
      <c r="D621" s="401">
        <f>B620*0.275</f>
        <v>72.4295</v>
      </c>
      <c r="E621" s="401"/>
      <c r="F621" s="403" t="s">
        <v>1377</v>
      </c>
      <c r="G621" s="404">
        <f>ROUND(D621*0.075*0.075*0.7,2)</f>
        <v>0.29</v>
      </c>
    </row>
    <row r="622" spans="1:7">
      <c r="A622" s="399" t="s">
        <v>1396</v>
      </c>
      <c r="B622" s="400"/>
      <c r="C622" s="401" t="s">
        <v>1376</v>
      </c>
      <c r="D622" s="401">
        <f>B620*0.24</f>
        <v>63.2112</v>
      </c>
      <c r="E622" s="401"/>
      <c r="F622" s="403" t="s">
        <v>1377</v>
      </c>
      <c r="G622" s="404">
        <f>ROUND(D622*0.025*0.05*0.7,2)</f>
        <v>0.06</v>
      </c>
    </row>
    <row r="623" spans="1:8">
      <c r="A623" s="399" t="s">
        <v>1397</v>
      </c>
      <c r="B623" s="400"/>
      <c r="C623" s="401" t="s">
        <v>1376</v>
      </c>
      <c r="D623" s="401">
        <f>0.792*B620</f>
        <v>208.59696</v>
      </c>
      <c r="E623" s="401"/>
      <c r="F623" s="403" t="s">
        <v>1377</v>
      </c>
      <c r="G623" s="404">
        <f>ROUND(D623*0.025*0.3*0.7,2)</f>
        <v>1.1</v>
      </c>
      <c r="H623" s="167"/>
    </row>
    <row r="624" ht="25.5" customHeight="1" spans="1:8">
      <c r="A624" s="407"/>
      <c r="B624" s="408"/>
      <c r="C624" s="409"/>
      <c r="D624" s="409"/>
      <c r="E624" s="409"/>
      <c r="F624" s="410"/>
      <c r="G624" s="411"/>
      <c r="H624" s="167"/>
    </row>
    <row r="625" spans="1:8">
      <c r="A625" s="394" t="s">
        <v>1398</v>
      </c>
      <c r="B625" s="413">
        <v>1043.734</v>
      </c>
      <c r="C625" s="412"/>
      <c r="D625" s="412"/>
      <c r="E625" s="412"/>
      <c r="F625" s="413"/>
      <c r="G625" s="414"/>
      <c r="H625" s="167"/>
    </row>
    <row r="626" ht="22.5" spans="1:8">
      <c r="A626" s="399" t="s">
        <v>1399</v>
      </c>
      <c r="B626" s="400"/>
      <c r="C626" s="401" t="s">
        <v>1400</v>
      </c>
      <c r="D626" s="401">
        <f>B625*0.0489</f>
        <v>51.0385926</v>
      </c>
      <c r="E626" s="401">
        <v>50</v>
      </c>
      <c r="F626" s="403" t="s">
        <v>1401</v>
      </c>
      <c r="G626" s="404">
        <f>ROUND(E626*31.7,2)/1000</f>
        <v>1.585</v>
      </c>
      <c r="H626" s="167"/>
    </row>
    <row r="627" spans="1:8">
      <c r="A627" s="407"/>
      <c r="B627" s="408"/>
      <c r="C627" s="409"/>
      <c r="D627" s="409"/>
      <c r="E627" s="409"/>
      <c r="F627" s="410"/>
      <c r="G627" s="411"/>
      <c r="H627" s="167"/>
    </row>
    <row r="628" spans="1:8">
      <c r="A628" s="394" t="s">
        <v>1402</v>
      </c>
      <c r="B628" s="413">
        <v>174.26</v>
      </c>
      <c r="C628" s="412"/>
      <c r="D628" s="412"/>
      <c r="E628" s="412"/>
      <c r="F628" s="413"/>
      <c r="G628" s="414"/>
      <c r="H628" s="167"/>
    </row>
    <row r="629" spans="1:12">
      <c r="A629" s="399" t="s">
        <v>1364</v>
      </c>
      <c r="B629" s="400"/>
      <c r="C629" s="401" t="s">
        <v>1365</v>
      </c>
      <c r="D629" s="401">
        <f>B628*0.0568</f>
        <v>9.897968</v>
      </c>
      <c r="E629" s="401">
        <f>D629</f>
        <v>9.897968</v>
      </c>
      <c r="F629" s="403">
        <v>1.48</v>
      </c>
      <c r="G629" s="404">
        <f>ROUND(E629*F629,2)</f>
        <v>14.65</v>
      </c>
      <c r="H629" s="167"/>
      <c r="I629" s="393"/>
      <c r="L629" s="424" t="s">
        <v>1403</v>
      </c>
    </row>
    <row r="630" ht="22.5" spans="1:15">
      <c r="A630" s="399" t="s">
        <v>1404</v>
      </c>
      <c r="B630" s="400"/>
      <c r="C630" s="401" t="s">
        <v>1405</v>
      </c>
      <c r="D630" s="401">
        <f>B628*0.0085</f>
        <v>1.48121</v>
      </c>
      <c r="E630" s="401">
        <f>D630</f>
        <v>1.48121</v>
      </c>
      <c r="F630" s="403">
        <v>1.4</v>
      </c>
      <c r="G630" s="404">
        <f>ROUND(E630*F630,2)</f>
        <v>2.07</v>
      </c>
      <c r="H630" s="167"/>
      <c r="I630" s="393"/>
      <c r="N630" s="169">
        <f>28/18</f>
        <v>1.55555555555556</v>
      </c>
      <c r="O630" s="169" t="s">
        <v>1406</v>
      </c>
    </row>
    <row r="631" spans="1:15">
      <c r="A631" s="399" t="s">
        <v>1407</v>
      </c>
      <c r="B631" s="400"/>
      <c r="C631" s="401" t="s">
        <v>1408</v>
      </c>
      <c r="D631" s="401">
        <f>B628*1.0049</f>
        <v>175.113874</v>
      </c>
      <c r="E631" s="401"/>
      <c r="F631" s="403" t="s">
        <v>1409</v>
      </c>
      <c r="G631" s="404">
        <f>ROUND(D631*39,2)/1000</f>
        <v>6.82944</v>
      </c>
      <c r="H631" s="167"/>
      <c r="I631" s="393"/>
      <c r="O631" s="169">
        <f>0.88*'PB III - Orçamento Sintetico'!E168</f>
        <v>918.48592</v>
      </c>
    </row>
    <row r="632" spans="1:9">
      <c r="A632" s="407"/>
      <c r="B632" s="408"/>
      <c r="C632" s="423"/>
      <c r="D632" s="409"/>
      <c r="E632" s="409"/>
      <c r="F632" s="410"/>
      <c r="G632" s="411"/>
      <c r="H632" s="167"/>
      <c r="I632" s="393"/>
    </row>
    <row r="633" spans="1:9">
      <c r="A633" s="394" t="s">
        <v>1410</v>
      </c>
      <c r="B633" s="413">
        <v>241</v>
      </c>
      <c r="C633" s="412"/>
      <c r="D633" s="412"/>
      <c r="E633" s="412"/>
      <c r="F633" s="413"/>
      <c r="G633" s="414"/>
      <c r="H633" s="167"/>
      <c r="I633" s="393"/>
    </row>
    <row r="634" spans="1:9">
      <c r="A634" s="399" t="s">
        <v>1411</v>
      </c>
      <c r="B634" s="400"/>
      <c r="C634" s="401" t="s">
        <v>1412</v>
      </c>
      <c r="D634" s="401">
        <f>B633*1.166</f>
        <v>281.006</v>
      </c>
      <c r="E634" s="401">
        <f>D634</f>
        <v>281.006</v>
      </c>
      <c r="F634" s="403" t="s">
        <v>1413</v>
      </c>
      <c r="G634" s="404">
        <f>ROUND(E634*3.79,2)/1000</f>
        <v>1.06501</v>
      </c>
      <c r="H634" s="167"/>
      <c r="I634" s="393"/>
    </row>
    <row r="635" spans="1:9">
      <c r="A635" s="407"/>
      <c r="B635" s="408"/>
      <c r="C635" s="409"/>
      <c r="D635" s="409"/>
      <c r="E635" s="409"/>
      <c r="F635" s="410"/>
      <c r="G635" s="411"/>
      <c r="H635" s="167"/>
      <c r="I635" s="393"/>
    </row>
    <row r="636" spans="1:9">
      <c r="A636" s="394" t="s">
        <v>1414</v>
      </c>
      <c r="B636" s="413">
        <v>279.67</v>
      </c>
      <c r="C636" s="412"/>
      <c r="D636" s="412"/>
      <c r="E636" s="412"/>
      <c r="F636" s="413"/>
      <c r="G636" s="414"/>
      <c r="H636" s="167"/>
      <c r="I636" s="393"/>
    </row>
    <row r="637" spans="1:9">
      <c r="A637" s="399" t="s">
        <v>1415</v>
      </c>
      <c r="B637" s="400"/>
      <c r="C637" s="401" t="s">
        <v>1376</v>
      </c>
      <c r="D637" s="401">
        <f>B636*0.341*1.05</f>
        <v>100.1358435</v>
      </c>
      <c r="E637" s="401"/>
      <c r="F637" s="403" t="s">
        <v>1416</v>
      </c>
      <c r="G637" s="404">
        <f>ROUND(D637*5.87/1000,2)</f>
        <v>0.59</v>
      </c>
      <c r="H637" s="167"/>
      <c r="I637" s="393"/>
    </row>
    <row r="638" spans="1:9">
      <c r="A638" s="399"/>
      <c r="B638" s="400"/>
      <c r="C638" s="401"/>
      <c r="D638" s="401"/>
      <c r="E638" s="401"/>
      <c r="F638" s="403"/>
      <c r="G638" s="404"/>
      <c r="H638" s="167"/>
      <c r="I638" s="393"/>
    </row>
    <row r="639" spans="1:9">
      <c r="A639" s="399"/>
      <c r="B639" s="400"/>
      <c r="C639" s="401"/>
      <c r="D639" s="401"/>
      <c r="E639" s="401"/>
      <c r="F639" s="403"/>
      <c r="G639" s="404"/>
      <c r="H639" s="167"/>
      <c r="I639" s="393"/>
    </row>
    <row r="640" spans="1:9">
      <c r="A640" s="394" t="s">
        <v>1417</v>
      </c>
      <c r="B640" s="413">
        <v>170.67</v>
      </c>
      <c r="C640" s="412"/>
      <c r="D640" s="412"/>
      <c r="E640" s="412"/>
      <c r="F640" s="413"/>
      <c r="G640" s="414"/>
      <c r="H640" s="167"/>
      <c r="I640" s="393"/>
    </row>
    <row r="641" spans="1:9">
      <c r="A641" s="399" t="s">
        <v>1418</v>
      </c>
      <c r="B641" s="400"/>
      <c r="C641" s="401" t="s">
        <v>1376</v>
      </c>
      <c r="D641" s="401">
        <f>B640*1.05</f>
        <v>179.2035</v>
      </c>
      <c r="E641" s="401"/>
      <c r="F641" s="403"/>
      <c r="G641" s="404">
        <f>ROUND((D641*11.11)/(1.44*1000),2)</f>
        <v>1.38</v>
      </c>
      <c r="H641" s="167"/>
      <c r="I641" s="393"/>
    </row>
    <row r="642" spans="1:9">
      <c r="A642" s="407"/>
      <c r="B642" s="408"/>
      <c r="C642" s="409"/>
      <c r="D642" s="409"/>
      <c r="E642" s="409"/>
      <c r="F642" s="410"/>
      <c r="G642" s="411"/>
      <c r="H642" s="167"/>
      <c r="I642" s="393"/>
    </row>
    <row r="643" spans="1:9">
      <c r="A643" s="394" t="s">
        <v>1419</v>
      </c>
      <c r="B643" s="413">
        <v>203.77</v>
      </c>
      <c r="C643" s="412"/>
      <c r="D643" s="412"/>
      <c r="E643" s="412"/>
      <c r="F643" s="413"/>
      <c r="G643" s="414"/>
      <c r="H643" s="167"/>
      <c r="I643" s="393"/>
    </row>
    <row r="644" spans="1:9">
      <c r="A644" s="399" t="s">
        <v>1420</v>
      </c>
      <c r="B644" s="400"/>
      <c r="C644" s="401" t="s">
        <v>1361</v>
      </c>
      <c r="D644" s="401">
        <f>442.22*B643*0.053</f>
        <v>4775.8919782</v>
      </c>
      <c r="E644" s="401"/>
      <c r="F644" s="403"/>
      <c r="G644" s="404">
        <f>ROUND(D644/1000,2)</f>
        <v>4.78</v>
      </c>
      <c r="H644" s="167"/>
      <c r="I644" s="393"/>
    </row>
    <row r="645" spans="1:9">
      <c r="A645" s="399" t="s">
        <v>1364</v>
      </c>
      <c r="B645" s="400"/>
      <c r="C645" s="401" t="s">
        <v>1365</v>
      </c>
      <c r="D645" s="401">
        <f>B643*1.54*0.053</f>
        <v>16.6317074</v>
      </c>
      <c r="E645" s="401"/>
      <c r="F645" s="403">
        <v>1.48</v>
      </c>
      <c r="G645" s="404">
        <f>F645*D645</f>
        <v>24.614926952</v>
      </c>
      <c r="H645" s="167"/>
      <c r="I645" s="393"/>
    </row>
    <row r="646" spans="1:9">
      <c r="A646" s="407"/>
      <c r="B646" s="408"/>
      <c r="C646" s="409"/>
      <c r="D646" s="409"/>
      <c r="E646" s="409"/>
      <c r="F646" s="410"/>
      <c r="G646" s="411"/>
      <c r="H646" s="167"/>
      <c r="I646" s="393"/>
    </row>
    <row r="647" spans="1:9">
      <c r="A647" s="407"/>
      <c r="B647" s="408"/>
      <c r="C647" s="409"/>
      <c r="D647" s="409"/>
      <c r="E647" s="409"/>
      <c r="F647" s="410"/>
      <c r="G647" s="411"/>
      <c r="H647" s="167"/>
      <c r="I647" s="393"/>
    </row>
    <row r="648" spans="1:7">
      <c r="A648" s="389" t="s">
        <v>1421</v>
      </c>
      <c r="B648" s="400"/>
      <c r="C648" s="401">
        <f>733.795</f>
        <v>733.795</v>
      </c>
      <c r="D648" s="401">
        <f>ROUND(C648,2)</f>
        <v>733.8</v>
      </c>
      <c r="E648" s="401"/>
      <c r="F648" s="403"/>
      <c r="G648" s="404">
        <f>D648/1000</f>
        <v>0.7338</v>
      </c>
    </row>
    <row r="649" spans="1:7">
      <c r="A649" s="389" t="s">
        <v>1422</v>
      </c>
      <c r="B649" s="400"/>
      <c r="C649" s="401">
        <v>818.37</v>
      </c>
      <c r="D649" s="401">
        <f t="shared" ref="D649:D652" si="26">ROUND(C649,2)</f>
        <v>818.37</v>
      </c>
      <c r="E649" s="401"/>
      <c r="F649" s="403"/>
      <c r="G649" s="404">
        <f t="shared" ref="G649:G652" si="27">D649/1000</f>
        <v>0.81837</v>
      </c>
    </row>
    <row r="650" spans="1:7">
      <c r="A650" s="389" t="s">
        <v>1423</v>
      </c>
      <c r="B650" s="400"/>
      <c r="C650" s="401">
        <f>839.5454</f>
        <v>839.5454</v>
      </c>
      <c r="D650" s="401">
        <f t="shared" si="26"/>
        <v>839.55</v>
      </c>
      <c r="E650" s="401"/>
      <c r="F650" s="403"/>
      <c r="G650" s="404">
        <f t="shared" si="27"/>
        <v>0.83955</v>
      </c>
    </row>
    <row r="651" spans="1:7">
      <c r="A651" s="389" t="s">
        <v>1424</v>
      </c>
      <c r="B651" s="400"/>
      <c r="C651" s="401">
        <f>754.408</f>
        <v>754.408</v>
      </c>
      <c r="D651" s="401">
        <f t="shared" si="26"/>
        <v>754.41</v>
      </c>
      <c r="E651" s="401"/>
      <c r="F651" s="403"/>
      <c r="G651" s="404">
        <f t="shared" si="27"/>
        <v>0.75441</v>
      </c>
    </row>
    <row r="652" spans="1:7">
      <c r="A652" s="389" t="s">
        <v>1422</v>
      </c>
      <c r="B652" s="403"/>
      <c r="C652" s="401">
        <f>508.299</f>
        <v>508.299</v>
      </c>
      <c r="D652" s="401">
        <f t="shared" si="26"/>
        <v>508.3</v>
      </c>
      <c r="E652" s="401"/>
      <c r="F652" s="403"/>
      <c r="G652" s="404">
        <f t="shared" si="27"/>
        <v>0.5083</v>
      </c>
    </row>
    <row r="653" spans="1:7">
      <c r="A653" s="407"/>
      <c r="B653" s="410"/>
      <c r="C653" s="409"/>
      <c r="D653" s="409"/>
      <c r="E653" s="409"/>
      <c r="F653" s="410"/>
      <c r="G653" s="411"/>
    </row>
    <row r="654" spans="1:7">
      <c r="A654" s="425"/>
      <c r="B654" s="426"/>
      <c r="C654" s="427"/>
      <c r="D654" s="428"/>
      <c r="E654" s="429" t="s">
        <v>779</v>
      </c>
      <c r="F654" s="430"/>
      <c r="G654" s="431">
        <f>SUM(G578:G653)</f>
        <v>500.285745721312</v>
      </c>
    </row>
    <row r="655" spans="1:7">
      <c r="A655" s="432"/>
      <c r="B655" s="433" t="s">
        <v>1425</v>
      </c>
      <c r="C655" s="434" t="s">
        <v>1426</v>
      </c>
      <c r="D655" s="435" t="s">
        <v>1427</v>
      </c>
      <c r="E655" s="434" t="s">
        <v>1015</v>
      </c>
      <c r="F655" s="436" t="s">
        <v>1428</v>
      </c>
      <c r="G655" s="436"/>
    </row>
    <row r="656" spans="1:7">
      <c r="A656" s="432" t="s">
        <v>1429</v>
      </c>
      <c r="B656" s="437">
        <v>72843</v>
      </c>
      <c r="C656" s="434">
        <f>G584+G589+G593+G594+G617+G618+G629+G630+G645</f>
        <v>368.580613492</v>
      </c>
      <c r="D656" s="435">
        <v>20</v>
      </c>
      <c r="E656" s="434">
        <f>C656*D656</f>
        <v>7371.61226984</v>
      </c>
      <c r="F656" s="436">
        <v>0.6</v>
      </c>
      <c r="G656" s="436">
        <f>ROUND(F656*E656,2)</f>
        <v>4422.97</v>
      </c>
    </row>
    <row r="657" spans="1:7">
      <c r="A657" s="432" t="s">
        <v>1430</v>
      </c>
      <c r="B657" s="437">
        <v>72840</v>
      </c>
      <c r="C657" s="434">
        <f>G654-C656</f>
        <v>131.705132229312</v>
      </c>
      <c r="D657" s="435">
        <v>87</v>
      </c>
      <c r="E657" s="434">
        <f>C657*D657</f>
        <v>11458.3465039501</v>
      </c>
      <c r="F657" s="436">
        <v>0.47</v>
      </c>
      <c r="G657" s="436">
        <f>ROUND(F657*E657,2)</f>
        <v>5385.42</v>
      </c>
    </row>
    <row r="658" spans="1:7">
      <c r="A658" s="425"/>
      <c r="B658" s="438"/>
      <c r="C658" s="427"/>
      <c r="D658" s="428"/>
      <c r="E658" s="427"/>
      <c r="F658" s="439"/>
      <c r="G658" s="439"/>
    </row>
    <row r="659" spans="1:7">
      <c r="A659" s="425"/>
      <c r="B659" s="438"/>
      <c r="C659" s="427"/>
      <c r="D659" s="428"/>
      <c r="E659" s="429" t="s">
        <v>1431</v>
      </c>
      <c r="F659" s="430"/>
      <c r="G659" s="431">
        <f>SUM(G656:G657)</f>
        <v>9808.39</v>
      </c>
    </row>
    <row r="660" spans="1:7">
      <c r="A660" s="425"/>
      <c r="B660" s="438"/>
      <c r="C660" s="427"/>
      <c r="D660" s="428"/>
      <c r="E660" s="427"/>
      <c r="F660" s="439"/>
      <c r="G660" s="439"/>
    </row>
  </sheetData>
  <mergeCells count="114">
    <mergeCell ref="A1:G1"/>
    <mergeCell ref="A3:G3"/>
    <mergeCell ref="A6:G6"/>
    <mergeCell ref="A11:G11"/>
    <mergeCell ref="A12:G12"/>
    <mergeCell ref="A30:G30"/>
    <mergeCell ref="A31:G31"/>
    <mergeCell ref="A32:B32"/>
    <mergeCell ref="A33:B33"/>
    <mergeCell ref="A34:B34"/>
    <mergeCell ref="A35:B35"/>
    <mergeCell ref="A36:B36"/>
    <mergeCell ref="A37:B37"/>
    <mergeCell ref="A38:B38"/>
    <mergeCell ref="A39:B39"/>
    <mergeCell ref="A40:D40"/>
    <mergeCell ref="E40:F40"/>
    <mergeCell ref="A41:G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7:D57"/>
    <mergeCell ref="E57:F57"/>
    <mergeCell ref="E58:F58"/>
    <mergeCell ref="A60:G60"/>
    <mergeCell ref="A61:B61"/>
    <mergeCell ref="C63:E63"/>
    <mergeCell ref="A64:G64"/>
    <mergeCell ref="A65:G65"/>
    <mergeCell ref="D81:F81"/>
    <mergeCell ref="D83:E83"/>
    <mergeCell ref="D84:E84"/>
    <mergeCell ref="D86:E86"/>
    <mergeCell ref="D90:E90"/>
    <mergeCell ref="D92:E92"/>
    <mergeCell ref="D93:E93"/>
    <mergeCell ref="D95:E95"/>
    <mergeCell ref="A108:G108"/>
    <mergeCell ref="A129:G129"/>
    <mergeCell ref="A174:G174"/>
    <mergeCell ref="E197:F197"/>
    <mergeCell ref="E199:F199"/>
    <mergeCell ref="E210:F210"/>
    <mergeCell ref="E218:F218"/>
    <mergeCell ref="E225:F225"/>
    <mergeCell ref="A234:G234"/>
    <mergeCell ref="E265:F265"/>
    <mergeCell ref="E269:F269"/>
    <mergeCell ref="E272:F272"/>
    <mergeCell ref="A273:G273"/>
    <mergeCell ref="A276:G276"/>
    <mergeCell ref="D278:E278"/>
    <mergeCell ref="E286:F286"/>
    <mergeCell ref="A316:D316"/>
    <mergeCell ref="E316:F316"/>
    <mergeCell ref="E320:F320"/>
    <mergeCell ref="E332:F332"/>
    <mergeCell ref="E339:F339"/>
    <mergeCell ref="A341:G341"/>
    <mergeCell ref="D342:E342"/>
    <mergeCell ref="A380:D380"/>
    <mergeCell ref="E380:F380"/>
    <mergeCell ref="A382:G382"/>
    <mergeCell ref="A406:F406"/>
    <mergeCell ref="E433:F433"/>
    <mergeCell ref="A435:G435"/>
    <mergeCell ref="A436:B436"/>
    <mergeCell ref="E456:F456"/>
    <mergeCell ref="A458:G458"/>
    <mergeCell ref="A466:G466"/>
    <mergeCell ref="C468:F468"/>
    <mergeCell ref="C469:F469"/>
    <mergeCell ref="C472:F472"/>
    <mergeCell ref="A476:G476"/>
    <mergeCell ref="A487:G487"/>
    <mergeCell ref="E495:F495"/>
    <mergeCell ref="E503:F503"/>
    <mergeCell ref="A504:G504"/>
    <mergeCell ref="E506:F506"/>
    <mergeCell ref="A507:G507"/>
    <mergeCell ref="E509:F509"/>
    <mergeCell ref="A510:G510"/>
    <mergeCell ref="A511:G511"/>
    <mergeCell ref="C513:F513"/>
    <mergeCell ref="C514:F514"/>
    <mergeCell ref="C515:F515"/>
    <mergeCell ref="A527:G527"/>
    <mergeCell ref="A528:G528"/>
    <mergeCell ref="C530:F530"/>
    <mergeCell ref="C531:F531"/>
    <mergeCell ref="C532:F532"/>
    <mergeCell ref="C533:F533"/>
    <mergeCell ref="C534:F534"/>
    <mergeCell ref="C535:F535"/>
    <mergeCell ref="C536:F536"/>
    <mergeCell ref="A538:G538"/>
    <mergeCell ref="E546:F546"/>
    <mergeCell ref="A548:G548"/>
    <mergeCell ref="A553:G553"/>
    <mergeCell ref="A558:G558"/>
    <mergeCell ref="A567:G567"/>
    <mergeCell ref="A575:G575"/>
    <mergeCell ref="E654:F654"/>
    <mergeCell ref="E659:F659"/>
    <mergeCell ref="A83:A84"/>
    <mergeCell ref="A92:A93"/>
    <mergeCell ref="A525:A526"/>
    <mergeCell ref="E578:E581"/>
  </mergeCells>
  <printOptions horizontalCentered="1"/>
  <pageMargins left="0.393055555555556" right="0" top="1.41666666666667" bottom="0.393055555555556" header="0" footer="0"/>
  <pageSetup paperSize="9" scale="89" orientation="portrait"/>
  <headerFooter>
    <oddHeader>&amp;C&amp;9&amp;G
DEFENSORIA PÚBLICA DO ESTADO DE RORAIMA
“Amazônia: Patrimônio dos brasileiros”
____________________________________________________________________________________________________</oddHeader>
    <oddFooter>&amp;C&amp;"Arial,Normal"&amp;9Página &amp;P de &amp;N</oddFooter>
  </headerFooter>
  <rowBreaks count="1" manualBreakCount="1">
    <brk id="601" max="6" man="1"/>
  </rowBreaks>
  <colBreaks count="1" manualBreakCount="1">
    <brk id="7" max="1048575" man="1"/>
  </colBreaks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0000"/>
  </sheetPr>
  <dimension ref="C1:R416"/>
  <sheetViews>
    <sheetView view="pageBreakPreview" zoomScaleNormal="100" zoomScaleSheetLayoutView="100" topLeftCell="A33" workbookViewId="0">
      <selection activeCell="D35" sqref="D35"/>
    </sheetView>
  </sheetViews>
  <sheetFormatPr defaultColWidth="9" defaultRowHeight="15"/>
  <cols>
    <col min="3" max="3" width="11.5714285714286" style="134" customWidth="1"/>
    <col min="4" max="4" width="40" customWidth="1"/>
    <col min="5" max="5" width="6.71428571428571" customWidth="1"/>
    <col min="6" max="6" width="9.71428571428571" customWidth="1"/>
    <col min="9" max="9" width="10.1428571428571" style="135" customWidth="1"/>
    <col min="10" max="10" width="10.1428571428571" customWidth="1"/>
    <col min="11" max="11" width="3.71428571428571" customWidth="1"/>
    <col min="13" max="16" width="9" hidden="1" customWidth="1"/>
  </cols>
  <sheetData>
    <row r="1" spans="3:11">
      <c r="C1" s="136" t="s">
        <v>1432</v>
      </c>
      <c r="D1" s="136"/>
      <c r="E1" s="136"/>
      <c r="F1" s="136"/>
      <c r="G1" s="136"/>
      <c r="H1" s="136"/>
      <c r="I1" s="136"/>
      <c r="J1" s="136"/>
      <c r="K1" s="136"/>
    </row>
    <row r="2" spans="3:11">
      <c r="C2" s="137"/>
      <c r="D2" s="138"/>
      <c r="E2" s="137"/>
      <c r="F2" s="137"/>
      <c r="G2" s="137"/>
      <c r="H2" s="137"/>
      <c r="I2" s="150"/>
      <c r="J2" s="150"/>
      <c r="K2" s="150"/>
    </row>
    <row r="3" spans="3:11">
      <c r="C3" s="139" t="s">
        <v>1</v>
      </c>
      <c r="D3" s="140"/>
      <c r="E3" s="140"/>
      <c r="F3" s="140"/>
      <c r="G3" s="140"/>
      <c r="H3" s="140"/>
      <c r="I3" s="140"/>
      <c r="J3" s="140"/>
      <c r="K3" s="151"/>
    </row>
    <row r="4" spans="3:11">
      <c r="C4" s="141"/>
      <c r="D4" s="142"/>
      <c r="E4" s="141"/>
      <c r="F4" s="141"/>
      <c r="G4" s="143"/>
      <c r="H4" s="141"/>
      <c r="I4" s="150"/>
      <c r="J4" s="150"/>
      <c r="K4" s="150"/>
    </row>
    <row r="5" ht="24.75" customHeight="1" spans="3:11">
      <c r="C5" s="144" t="s">
        <v>5</v>
      </c>
      <c r="D5" s="145" t="s">
        <v>6</v>
      </c>
      <c r="E5" s="144" t="s">
        <v>7</v>
      </c>
      <c r="F5" s="146" t="s">
        <v>8</v>
      </c>
      <c r="G5" s="146" t="s">
        <v>1433</v>
      </c>
      <c r="H5" s="146"/>
      <c r="I5" s="152" t="s">
        <v>1434</v>
      </c>
      <c r="J5" s="152" t="s">
        <v>1435</v>
      </c>
      <c r="K5" s="153"/>
    </row>
    <row r="6" spans="3:11">
      <c r="C6" s="144"/>
      <c r="D6" s="145"/>
      <c r="E6" s="144"/>
      <c r="F6" s="146"/>
      <c r="G6" s="146" t="s">
        <v>9</v>
      </c>
      <c r="H6" s="146" t="s">
        <v>10</v>
      </c>
      <c r="I6" s="154"/>
      <c r="J6" s="154"/>
      <c r="K6" s="155"/>
    </row>
    <row r="7" spans="17:18">
      <c r="Q7">
        <v>710178.09</v>
      </c>
      <c r="R7">
        <f>SUM(H9:H324)</f>
        <v>700365.05</v>
      </c>
    </row>
    <row r="8" spans="4:18">
      <c r="D8" t="s">
        <v>13</v>
      </c>
      <c r="Q8">
        <f t="shared" ref="Q8:Q71" si="0">$Q$7</f>
        <v>710178.09</v>
      </c>
      <c r="R8">
        <f t="shared" ref="R8:R71" si="1">$R$7</f>
        <v>700365.05</v>
      </c>
    </row>
    <row r="9" ht="30" customHeight="1" spans="3:18">
      <c r="C9" s="147" t="s">
        <v>1018</v>
      </c>
      <c r="D9" s="148" t="s">
        <v>761</v>
      </c>
      <c r="E9" s="149" t="s">
        <v>21</v>
      </c>
      <c r="F9" s="149">
        <v>1</v>
      </c>
      <c r="G9" s="149">
        <v>77785.48</v>
      </c>
      <c r="H9" s="149">
        <f t="shared" ref="H9:H72" si="2">ROUND(F9*G9,2)</f>
        <v>77785.48</v>
      </c>
      <c r="I9" s="156">
        <f>H9/$R$7</f>
        <v>0.111064194308382</v>
      </c>
      <c r="J9" s="156">
        <f>I9</f>
        <v>0.111064194308382</v>
      </c>
      <c r="K9" s="157" t="s">
        <v>1436</v>
      </c>
      <c r="Q9">
        <f t="shared" si="0"/>
        <v>710178.09</v>
      </c>
      <c r="R9">
        <f t="shared" si="1"/>
        <v>700365.05</v>
      </c>
    </row>
    <row r="10" ht="105" spans="3:18">
      <c r="C10" s="147" t="s">
        <v>1437</v>
      </c>
      <c r="D10" s="148" t="s">
        <v>1438</v>
      </c>
      <c r="E10" s="149" t="s">
        <v>21</v>
      </c>
      <c r="F10" s="149">
        <v>1</v>
      </c>
      <c r="G10" s="149">
        <v>62537</v>
      </c>
      <c r="H10" s="149">
        <f t="shared" si="2"/>
        <v>62537</v>
      </c>
      <c r="I10" s="156">
        <f t="shared" ref="I10:I73" si="3">H10/$R$7</f>
        <v>0.0892920056476262</v>
      </c>
      <c r="J10" s="156">
        <f>I10+J9</f>
        <v>0.200356199956009</v>
      </c>
      <c r="K10" s="158"/>
      <c r="Q10">
        <f t="shared" si="0"/>
        <v>710178.09</v>
      </c>
      <c r="R10">
        <f t="shared" si="1"/>
        <v>700365.05</v>
      </c>
    </row>
    <row r="11" ht="60" spans="3:18">
      <c r="C11" s="147">
        <v>89168</v>
      </c>
      <c r="D11" s="148" t="s">
        <v>112</v>
      </c>
      <c r="E11" s="149" t="s">
        <v>17</v>
      </c>
      <c r="F11" s="149">
        <v>780.37</v>
      </c>
      <c r="G11" s="149">
        <v>58.27</v>
      </c>
      <c r="H11" s="149">
        <f t="shared" si="2"/>
        <v>45472.16</v>
      </c>
      <c r="I11" s="156">
        <f t="shared" si="3"/>
        <v>0.0649263694697501</v>
      </c>
      <c r="J11" s="156">
        <f t="shared" ref="J11:J74" si="4">I11+J10</f>
        <v>0.265282569425759</v>
      </c>
      <c r="K11" s="158"/>
      <c r="Q11">
        <f t="shared" si="0"/>
        <v>710178.09</v>
      </c>
      <c r="R11">
        <f t="shared" si="1"/>
        <v>700365.05</v>
      </c>
    </row>
    <row r="12" ht="90" spans="3:18">
      <c r="C12" s="147">
        <v>89173</v>
      </c>
      <c r="D12" s="148" t="s">
        <v>116</v>
      </c>
      <c r="E12" s="149" t="s">
        <v>17</v>
      </c>
      <c r="F12" s="149">
        <v>1592.8</v>
      </c>
      <c r="G12" s="149">
        <v>25.24</v>
      </c>
      <c r="H12" s="149">
        <f t="shared" si="2"/>
        <v>40202.27</v>
      </c>
      <c r="I12" s="156">
        <f t="shared" si="3"/>
        <v>0.0574018792057085</v>
      </c>
      <c r="J12" s="156">
        <f t="shared" si="4"/>
        <v>0.322684448631467</v>
      </c>
      <c r="K12" s="158"/>
      <c r="Q12">
        <f t="shared" si="0"/>
        <v>710178.09</v>
      </c>
      <c r="R12">
        <f t="shared" si="1"/>
        <v>700365.05</v>
      </c>
    </row>
    <row r="13" spans="3:18">
      <c r="C13" s="147" t="s">
        <v>139</v>
      </c>
      <c r="D13" s="148" t="s">
        <v>141</v>
      </c>
      <c r="E13" s="149" t="s">
        <v>56</v>
      </c>
      <c r="F13" s="149">
        <v>82.45</v>
      </c>
      <c r="G13" s="149">
        <v>393.85</v>
      </c>
      <c r="H13" s="149">
        <f t="shared" si="2"/>
        <v>32472.93</v>
      </c>
      <c r="I13" s="156">
        <f t="shared" si="3"/>
        <v>0.0463657202768756</v>
      </c>
      <c r="J13" s="156">
        <f t="shared" si="4"/>
        <v>0.369050168908343</v>
      </c>
      <c r="K13" s="158"/>
      <c r="M13" t="s">
        <v>17</v>
      </c>
      <c r="N13">
        <v>191.84</v>
      </c>
      <c r="O13">
        <v>1.55</v>
      </c>
      <c r="P13">
        <v>297.35</v>
      </c>
      <c r="Q13">
        <f t="shared" si="0"/>
        <v>710178.09</v>
      </c>
      <c r="R13">
        <f t="shared" si="1"/>
        <v>700365.05</v>
      </c>
    </row>
    <row r="14" ht="60" spans="3:18">
      <c r="C14" s="147" t="s">
        <v>357</v>
      </c>
      <c r="D14" s="148" t="s">
        <v>359</v>
      </c>
      <c r="E14" s="149" t="s">
        <v>17</v>
      </c>
      <c r="F14" s="149">
        <v>203.74</v>
      </c>
      <c r="G14" s="149">
        <v>83.96</v>
      </c>
      <c r="H14" s="149">
        <f t="shared" si="2"/>
        <v>17106.01</v>
      </c>
      <c r="I14" s="156">
        <f t="shared" si="3"/>
        <v>0.0244244198079273</v>
      </c>
      <c r="J14" s="156">
        <f t="shared" si="4"/>
        <v>0.39347458871627</v>
      </c>
      <c r="K14" s="158"/>
      <c r="M14" t="s">
        <v>17</v>
      </c>
      <c r="N14">
        <v>1043.734</v>
      </c>
      <c r="O14">
        <v>1.55</v>
      </c>
      <c r="P14">
        <v>1617.79</v>
      </c>
      <c r="Q14">
        <f t="shared" si="0"/>
        <v>710178.09</v>
      </c>
      <c r="R14">
        <f t="shared" si="1"/>
        <v>700365.05</v>
      </c>
    </row>
    <row r="15" ht="30" spans="3:18">
      <c r="C15" s="147" t="s">
        <v>912</v>
      </c>
      <c r="D15" s="148" t="s">
        <v>543</v>
      </c>
      <c r="E15" s="149" t="s">
        <v>21</v>
      </c>
      <c r="F15" s="149">
        <v>64</v>
      </c>
      <c r="G15" s="149">
        <v>233.52</v>
      </c>
      <c r="H15" s="149">
        <f t="shared" si="2"/>
        <v>14945.28</v>
      </c>
      <c r="I15" s="156">
        <f t="shared" si="3"/>
        <v>0.0213392715698763</v>
      </c>
      <c r="J15" s="156">
        <f t="shared" si="4"/>
        <v>0.414813860286147</v>
      </c>
      <c r="K15" s="158"/>
      <c r="Q15">
        <f t="shared" si="0"/>
        <v>710178.09</v>
      </c>
      <c r="R15">
        <f t="shared" si="1"/>
        <v>700365.05</v>
      </c>
    </row>
    <row r="16" ht="45" spans="3:18">
      <c r="C16" s="147">
        <v>92418</v>
      </c>
      <c r="D16" s="148" t="s">
        <v>109</v>
      </c>
      <c r="E16" s="149" t="s">
        <v>17</v>
      </c>
      <c r="F16" s="149">
        <v>211.73</v>
      </c>
      <c r="G16" s="149">
        <v>65.26</v>
      </c>
      <c r="H16" s="149">
        <f t="shared" si="2"/>
        <v>13817.5</v>
      </c>
      <c r="I16" s="156">
        <f t="shared" si="3"/>
        <v>0.0197289970423281</v>
      </c>
      <c r="J16" s="156">
        <f t="shared" si="4"/>
        <v>0.434542857328475</v>
      </c>
      <c r="K16" s="158"/>
      <c r="Q16">
        <f t="shared" si="0"/>
        <v>710178.09</v>
      </c>
      <c r="R16">
        <f t="shared" si="1"/>
        <v>700365.05</v>
      </c>
    </row>
    <row r="17" spans="3:18">
      <c r="C17" s="147" t="s">
        <v>90</v>
      </c>
      <c r="D17" s="148" t="s">
        <v>92</v>
      </c>
      <c r="E17" s="149" t="s">
        <v>56</v>
      </c>
      <c r="F17" s="149">
        <v>88.93</v>
      </c>
      <c r="G17" s="149">
        <v>143.94</v>
      </c>
      <c r="H17" s="149">
        <f t="shared" si="2"/>
        <v>12800.58</v>
      </c>
      <c r="I17" s="156">
        <f t="shared" si="3"/>
        <v>0.0182770113957</v>
      </c>
      <c r="J17" s="156">
        <f t="shared" si="4"/>
        <v>0.452819868724175</v>
      </c>
      <c r="K17" s="158"/>
      <c r="Q17">
        <f t="shared" si="0"/>
        <v>710178.09</v>
      </c>
      <c r="R17">
        <f t="shared" si="1"/>
        <v>700365.05</v>
      </c>
    </row>
    <row r="18" spans="3:18">
      <c r="C18" s="147" t="s">
        <v>203</v>
      </c>
      <c r="D18" s="148" t="s">
        <v>193</v>
      </c>
      <c r="E18" s="149" t="s">
        <v>17</v>
      </c>
      <c r="F18" s="149">
        <v>172.33</v>
      </c>
      <c r="G18" s="149">
        <v>73.63</v>
      </c>
      <c r="H18" s="149">
        <f t="shared" si="2"/>
        <v>12688.66</v>
      </c>
      <c r="I18" s="156">
        <f t="shared" si="3"/>
        <v>0.0181172090183541</v>
      </c>
      <c r="J18" s="156">
        <f t="shared" si="4"/>
        <v>0.470937077742529</v>
      </c>
      <c r="K18" s="158"/>
      <c r="Q18">
        <f t="shared" si="0"/>
        <v>710178.09</v>
      </c>
      <c r="R18">
        <f t="shared" si="1"/>
        <v>700365.05</v>
      </c>
    </row>
    <row r="19" ht="30" spans="3:18">
      <c r="C19" s="147" t="s">
        <v>269</v>
      </c>
      <c r="D19" s="148" t="s">
        <v>271</v>
      </c>
      <c r="E19" s="149" t="s">
        <v>17</v>
      </c>
      <c r="F19" s="149">
        <v>142.12</v>
      </c>
      <c r="G19" s="149">
        <v>88.55</v>
      </c>
      <c r="H19" s="149">
        <f t="shared" si="2"/>
        <v>12584.73</v>
      </c>
      <c r="I19" s="156">
        <f t="shared" si="3"/>
        <v>0.0179688149772751</v>
      </c>
      <c r="J19" s="156">
        <f t="shared" si="4"/>
        <v>0.488905892719804</v>
      </c>
      <c r="K19" s="158"/>
      <c r="Q19">
        <f t="shared" si="0"/>
        <v>710178.09</v>
      </c>
      <c r="R19">
        <f t="shared" si="1"/>
        <v>700365.05</v>
      </c>
    </row>
    <row r="20" ht="45" spans="3:18">
      <c r="C20" s="147" t="s">
        <v>125</v>
      </c>
      <c r="D20" s="148" t="s">
        <v>127</v>
      </c>
      <c r="E20" s="149" t="s">
        <v>17</v>
      </c>
      <c r="F20" s="149">
        <v>1235.574</v>
      </c>
      <c r="G20" s="149">
        <v>9.17</v>
      </c>
      <c r="H20" s="149">
        <f t="shared" si="2"/>
        <v>11330.21</v>
      </c>
      <c r="I20" s="156">
        <f t="shared" si="3"/>
        <v>0.0161775776789547</v>
      </c>
      <c r="J20" s="156">
        <f t="shared" si="4"/>
        <v>0.505083470398758</v>
      </c>
      <c r="K20" s="158"/>
      <c r="Q20">
        <f t="shared" si="0"/>
        <v>710178.09</v>
      </c>
      <c r="R20">
        <f t="shared" si="1"/>
        <v>700365.05</v>
      </c>
    </row>
    <row r="21" ht="45" spans="3:18">
      <c r="C21" s="147" t="s">
        <v>257</v>
      </c>
      <c r="D21" s="148" t="s">
        <v>1439</v>
      </c>
      <c r="E21" s="149" t="s">
        <v>56</v>
      </c>
      <c r="F21" s="149">
        <v>20.377</v>
      </c>
      <c r="G21" s="149">
        <v>522.23</v>
      </c>
      <c r="H21" s="149">
        <f t="shared" si="2"/>
        <v>10641.48</v>
      </c>
      <c r="I21" s="156">
        <f t="shared" si="3"/>
        <v>0.0151941905153605</v>
      </c>
      <c r="J21" s="156">
        <f t="shared" si="4"/>
        <v>0.520277660914119</v>
      </c>
      <c r="K21" s="158"/>
      <c r="Q21">
        <f t="shared" si="0"/>
        <v>710178.09</v>
      </c>
      <c r="R21">
        <f t="shared" si="1"/>
        <v>700365.05</v>
      </c>
    </row>
    <row r="22" ht="45" spans="3:18">
      <c r="C22" s="147">
        <v>5651</v>
      </c>
      <c r="D22" s="148" t="s">
        <v>99</v>
      </c>
      <c r="E22" s="149" t="s">
        <v>17</v>
      </c>
      <c r="F22" s="149">
        <v>353.38</v>
      </c>
      <c r="G22" s="149">
        <v>29.91</v>
      </c>
      <c r="H22" s="149">
        <f t="shared" si="2"/>
        <v>10569.6</v>
      </c>
      <c r="I22" s="156">
        <f t="shared" si="3"/>
        <v>0.0150915583237627</v>
      </c>
      <c r="J22" s="156">
        <f t="shared" si="4"/>
        <v>0.535369219237882</v>
      </c>
      <c r="K22" s="158"/>
      <c r="Q22">
        <f t="shared" si="0"/>
        <v>710178.09</v>
      </c>
      <c r="R22">
        <f t="shared" si="1"/>
        <v>700365.05</v>
      </c>
    </row>
    <row r="23" ht="105" spans="3:18">
      <c r="C23" s="147" t="s">
        <v>1440</v>
      </c>
      <c r="D23" s="148" t="s">
        <v>749</v>
      </c>
      <c r="E23" s="149" t="s">
        <v>21</v>
      </c>
      <c r="F23" s="149">
        <v>1</v>
      </c>
      <c r="G23" s="149">
        <v>10062.71</v>
      </c>
      <c r="H23" s="149">
        <f t="shared" si="2"/>
        <v>10062.71</v>
      </c>
      <c r="I23" s="156">
        <f t="shared" si="3"/>
        <v>0.0143678071885512</v>
      </c>
      <c r="J23" s="156">
        <f t="shared" si="4"/>
        <v>0.549737026426433</v>
      </c>
      <c r="K23" s="158"/>
      <c r="Q23">
        <f t="shared" si="0"/>
        <v>710178.09</v>
      </c>
      <c r="R23">
        <f t="shared" si="1"/>
        <v>700365.05</v>
      </c>
    </row>
    <row r="24" ht="30" spans="3:18">
      <c r="C24" s="147">
        <v>88497</v>
      </c>
      <c r="D24" s="148" t="s">
        <v>300</v>
      </c>
      <c r="E24" s="149" t="s">
        <v>17</v>
      </c>
      <c r="F24" s="149">
        <v>1043.734</v>
      </c>
      <c r="G24" s="149">
        <v>9.47</v>
      </c>
      <c r="H24" s="149">
        <f t="shared" si="2"/>
        <v>9884.16</v>
      </c>
      <c r="I24" s="156">
        <f t="shared" si="3"/>
        <v>0.0141128687103961</v>
      </c>
      <c r="J24" s="156">
        <f t="shared" si="4"/>
        <v>0.563849895136829</v>
      </c>
      <c r="K24" s="158"/>
      <c r="Q24">
        <f t="shared" si="0"/>
        <v>710178.09</v>
      </c>
      <c r="R24">
        <f t="shared" si="1"/>
        <v>700365.05</v>
      </c>
    </row>
    <row r="25" ht="30" spans="3:18">
      <c r="C25" s="147" t="s">
        <v>1012</v>
      </c>
      <c r="D25" s="148" t="s">
        <v>759</v>
      </c>
      <c r="E25" s="149" t="s">
        <v>21</v>
      </c>
      <c r="F25" s="149">
        <v>1</v>
      </c>
      <c r="G25" s="149">
        <v>9808.39</v>
      </c>
      <c r="H25" s="149">
        <f t="shared" si="2"/>
        <v>9808.39</v>
      </c>
      <c r="I25" s="156">
        <f t="shared" si="3"/>
        <v>0.0140046822724806</v>
      </c>
      <c r="J25" s="156">
        <f t="shared" si="4"/>
        <v>0.57785457740931</v>
      </c>
      <c r="K25" s="158"/>
      <c r="Q25">
        <f t="shared" si="0"/>
        <v>710178.09</v>
      </c>
      <c r="R25">
        <f t="shared" si="1"/>
        <v>700365.05</v>
      </c>
    </row>
    <row r="26" ht="45" spans="3:18">
      <c r="C26" s="147">
        <v>92404</v>
      </c>
      <c r="D26" s="148" t="s">
        <v>714</v>
      </c>
      <c r="E26" s="149" t="s">
        <v>17</v>
      </c>
      <c r="F26" s="149">
        <v>174.26</v>
      </c>
      <c r="G26" s="149">
        <v>53.34</v>
      </c>
      <c r="H26" s="149">
        <f t="shared" si="2"/>
        <v>9295.03</v>
      </c>
      <c r="I26" s="156">
        <f t="shared" si="3"/>
        <v>0.0132716930977638</v>
      </c>
      <c r="J26" s="156">
        <f t="shared" si="4"/>
        <v>0.591126270507073</v>
      </c>
      <c r="K26" s="158"/>
      <c r="Q26">
        <f t="shared" si="0"/>
        <v>710178.09</v>
      </c>
      <c r="R26">
        <f t="shared" si="1"/>
        <v>700365.05</v>
      </c>
    </row>
    <row r="27" ht="30" spans="3:18">
      <c r="C27" s="147">
        <v>94213</v>
      </c>
      <c r="D27" s="148" t="s">
        <v>364</v>
      </c>
      <c r="E27" s="149" t="s">
        <v>17</v>
      </c>
      <c r="F27" s="149">
        <v>241</v>
      </c>
      <c r="G27" s="149">
        <v>38.2</v>
      </c>
      <c r="H27" s="149">
        <f t="shared" si="2"/>
        <v>9206.2</v>
      </c>
      <c r="I27" s="156">
        <f t="shared" si="3"/>
        <v>0.0131448592416198</v>
      </c>
      <c r="J27" s="156">
        <f t="shared" si="4"/>
        <v>0.604271129748693</v>
      </c>
      <c r="K27" s="158"/>
      <c r="Q27">
        <f t="shared" si="0"/>
        <v>710178.09</v>
      </c>
      <c r="R27">
        <f t="shared" si="1"/>
        <v>700365.05</v>
      </c>
    </row>
    <row r="28" spans="3:18">
      <c r="C28" s="147" t="s">
        <v>213</v>
      </c>
      <c r="D28" s="148" t="s">
        <v>193</v>
      </c>
      <c r="E28" s="149" t="s">
        <v>17</v>
      </c>
      <c r="F28" s="149">
        <v>279.67</v>
      </c>
      <c r="G28" s="149">
        <v>31.58</v>
      </c>
      <c r="H28" s="149">
        <f t="shared" si="2"/>
        <v>8831.98</v>
      </c>
      <c r="I28" s="156">
        <f t="shared" si="3"/>
        <v>0.0126105378902045</v>
      </c>
      <c r="J28" s="156">
        <f t="shared" si="4"/>
        <v>0.616881667638898</v>
      </c>
      <c r="K28" s="158"/>
      <c r="Q28">
        <f t="shared" si="0"/>
        <v>710178.09</v>
      </c>
      <c r="R28">
        <f t="shared" si="1"/>
        <v>700365.05</v>
      </c>
    </row>
    <row r="29" ht="30" spans="3:18">
      <c r="C29" s="147">
        <v>92777</v>
      </c>
      <c r="D29" s="148" t="s">
        <v>94</v>
      </c>
      <c r="E29" s="149" t="s">
        <v>95</v>
      </c>
      <c r="F29" s="149">
        <v>733.8</v>
      </c>
      <c r="G29" s="149">
        <v>11.16</v>
      </c>
      <c r="H29" s="149">
        <f t="shared" si="2"/>
        <v>8189.21</v>
      </c>
      <c r="I29" s="156">
        <f t="shared" si="3"/>
        <v>0.0116927736471145</v>
      </c>
      <c r="J29" s="156">
        <f t="shared" si="4"/>
        <v>0.628574441286012</v>
      </c>
      <c r="K29" s="158"/>
      <c r="Q29">
        <f t="shared" si="0"/>
        <v>710178.09</v>
      </c>
      <c r="R29">
        <f t="shared" si="1"/>
        <v>700365.05</v>
      </c>
    </row>
    <row r="30" spans="3:18">
      <c r="C30" s="147">
        <v>94582</v>
      </c>
      <c r="D30" s="148" t="s">
        <v>330</v>
      </c>
      <c r="E30" s="149" t="s">
        <v>17</v>
      </c>
      <c r="F30" s="149">
        <v>22.55</v>
      </c>
      <c r="G30" s="149">
        <v>362.35</v>
      </c>
      <c r="H30" s="149">
        <f t="shared" si="2"/>
        <v>8170.99</v>
      </c>
      <c r="I30" s="156">
        <f t="shared" si="3"/>
        <v>0.0116667586425108</v>
      </c>
      <c r="J30" s="156">
        <f t="shared" si="4"/>
        <v>0.640241199928523</v>
      </c>
      <c r="K30" s="158"/>
      <c r="Q30">
        <f t="shared" si="0"/>
        <v>710178.09</v>
      </c>
      <c r="R30">
        <f t="shared" si="1"/>
        <v>700365.05</v>
      </c>
    </row>
    <row r="31" ht="45" spans="3:18">
      <c r="C31" s="147">
        <v>91314</v>
      </c>
      <c r="D31" s="148" t="s">
        <v>306</v>
      </c>
      <c r="E31" s="149" t="s">
        <v>21</v>
      </c>
      <c r="F31" s="149">
        <v>14</v>
      </c>
      <c r="G31" s="149">
        <v>579.3</v>
      </c>
      <c r="H31" s="149">
        <f t="shared" si="2"/>
        <v>8110.2</v>
      </c>
      <c r="I31" s="156">
        <f t="shared" si="3"/>
        <v>0.0115799610503123</v>
      </c>
      <c r="J31" s="156">
        <f t="shared" si="4"/>
        <v>0.651821160978835</v>
      </c>
      <c r="K31" s="158"/>
      <c r="Q31">
        <f t="shared" si="0"/>
        <v>710178.09</v>
      </c>
      <c r="R31">
        <f t="shared" si="1"/>
        <v>700365.05</v>
      </c>
    </row>
    <row r="32" spans="3:18">
      <c r="C32" s="147" t="s">
        <v>223</v>
      </c>
      <c r="D32" s="148" t="s">
        <v>182</v>
      </c>
      <c r="E32" s="149" t="s">
        <v>95</v>
      </c>
      <c r="F32" s="149">
        <f>817.09+1.64</f>
        <v>818.73</v>
      </c>
      <c r="G32" s="149">
        <v>9.74</v>
      </c>
      <c r="H32" s="149">
        <f t="shared" si="2"/>
        <v>7974.43</v>
      </c>
      <c r="I32" s="156">
        <f t="shared" si="3"/>
        <v>0.0113861050033836</v>
      </c>
      <c r="J32" s="156">
        <f t="shared" si="4"/>
        <v>0.663207265982219</v>
      </c>
      <c r="K32" s="158"/>
      <c r="Q32">
        <f t="shared" si="0"/>
        <v>710178.09</v>
      </c>
      <c r="R32">
        <f t="shared" si="1"/>
        <v>700365.05</v>
      </c>
    </row>
    <row r="33" ht="45" spans="3:18">
      <c r="C33" s="147" t="s">
        <v>260</v>
      </c>
      <c r="D33" s="148" t="s">
        <v>262</v>
      </c>
      <c r="E33" s="149" t="s">
        <v>17</v>
      </c>
      <c r="F33" s="149">
        <v>203.77</v>
      </c>
      <c r="G33" s="149">
        <v>39.1</v>
      </c>
      <c r="H33" s="149">
        <f t="shared" si="2"/>
        <v>7967.41</v>
      </c>
      <c r="I33" s="156">
        <f t="shared" si="3"/>
        <v>0.0113760816591291</v>
      </c>
      <c r="J33" s="156">
        <f t="shared" si="4"/>
        <v>0.674583347641348</v>
      </c>
      <c r="K33" s="158"/>
      <c r="Q33">
        <f t="shared" si="0"/>
        <v>710178.09</v>
      </c>
      <c r="R33">
        <f t="shared" si="1"/>
        <v>700365.05</v>
      </c>
    </row>
    <row r="34" spans="3:18">
      <c r="C34" s="147" t="s">
        <v>215</v>
      </c>
      <c r="D34" s="148" t="s">
        <v>148</v>
      </c>
      <c r="E34" s="149" t="s">
        <v>95</v>
      </c>
      <c r="F34" s="149">
        <v>839.54</v>
      </c>
      <c r="G34" s="149">
        <v>8.53</v>
      </c>
      <c r="H34" s="149">
        <f t="shared" si="2"/>
        <v>7161.28</v>
      </c>
      <c r="I34" s="156">
        <f t="shared" si="3"/>
        <v>0.0102250676272324</v>
      </c>
      <c r="J34" s="156">
        <f t="shared" si="4"/>
        <v>0.68480841526858</v>
      </c>
      <c r="K34" s="158"/>
      <c r="Q34">
        <f t="shared" si="0"/>
        <v>710178.09</v>
      </c>
      <c r="R34">
        <f t="shared" si="1"/>
        <v>700365.05</v>
      </c>
    </row>
    <row r="35" ht="30" spans="3:18">
      <c r="C35" s="147">
        <v>92778</v>
      </c>
      <c r="D35" s="148" t="s">
        <v>105</v>
      </c>
      <c r="E35" s="149" t="s">
        <v>95</v>
      </c>
      <c r="F35" s="149">
        <v>754.4</v>
      </c>
      <c r="G35" s="149">
        <v>8.97</v>
      </c>
      <c r="H35" s="149">
        <f t="shared" si="2"/>
        <v>6766.97</v>
      </c>
      <c r="I35" s="156">
        <f t="shared" si="3"/>
        <v>0.00966206123506591</v>
      </c>
      <c r="J35" s="156">
        <f t="shared" si="4"/>
        <v>0.694470476503646</v>
      </c>
      <c r="K35" s="158"/>
      <c r="Q35">
        <f t="shared" si="0"/>
        <v>710178.09</v>
      </c>
      <c r="R35">
        <f t="shared" si="1"/>
        <v>700365.05</v>
      </c>
    </row>
    <row r="36" ht="30" spans="3:18">
      <c r="C36" s="147">
        <v>92775</v>
      </c>
      <c r="D36" s="148" t="s">
        <v>97</v>
      </c>
      <c r="E36" s="149" t="s">
        <v>95</v>
      </c>
      <c r="F36" s="149">
        <v>508.3</v>
      </c>
      <c r="G36" s="149">
        <v>13.31</v>
      </c>
      <c r="H36" s="149">
        <f t="shared" si="2"/>
        <v>6765.47</v>
      </c>
      <c r="I36" s="156">
        <f t="shared" si="3"/>
        <v>0.00965991949484058</v>
      </c>
      <c r="J36" s="156">
        <f t="shared" si="4"/>
        <v>0.704130395998487</v>
      </c>
      <c r="K36" s="158"/>
      <c r="Q36">
        <f t="shared" si="0"/>
        <v>710178.09</v>
      </c>
      <c r="R36">
        <f t="shared" si="1"/>
        <v>700365.05</v>
      </c>
    </row>
    <row r="37" ht="30" spans="3:18">
      <c r="C37" s="147">
        <v>89170</v>
      </c>
      <c r="D37" s="148" t="s">
        <v>294</v>
      </c>
      <c r="E37" s="149" t="s">
        <v>17</v>
      </c>
      <c r="F37" s="149">
        <v>170.67</v>
      </c>
      <c r="G37" s="149">
        <v>38.11</v>
      </c>
      <c r="H37" s="149">
        <f t="shared" si="2"/>
        <v>6504.23</v>
      </c>
      <c r="I37" s="156">
        <f t="shared" si="3"/>
        <v>0.00928691401719717</v>
      </c>
      <c r="J37" s="156">
        <f t="shared" si="4"/>
        <v>0.713417310015684</v>
      </c>
      <c r="K37" s="158"/>
      <c r="Q37">
        <f t="shared" si="0"/>
        <v>710178.09</v>
      </c>
      <c r="R37">
        <f t="shared" si="1"/>
        <v>700365.05</v>
      </c>
    </row>
    <row r="38" spans="3:18">
      <c r="C38" s="147">
        <v>93212</v>
      </c>
      <c r="D38" s="148" t="s">
        <v>31</v>
      </c>
      <c r="E38" s="149" t="s">
        <v>17</v>
      </c>
      <c r="F38" s="149">
        <v>12</v>
      </c>
      <c r="G38" s="149">
        <v>536.76</v>
      </c>
      <c r="H38" s="149">
        <f t="shared" si="2"/>
        <v>6441.12</v>
      </c>
      <c r="I38" s="156">
        <f t="shared" si="3"/>
        <v>0.00919680386678347</v>
      </c>
      <c r="J38" s="156">
        <f t="shared" si="4"/>
        <v>0.722614113882467</v>
      </c>
      <c r="K38" s="158"/>
      <c r="Q38">
        <f t="shared" si="0"/>
        <v>710178.09</v>
      </c>
      <c r="R38">
        <f t="shared" si="1"/>
        <v>700365.05</v>
      </c>
    </row>
    <row r="39" ht="45" spans="3:18">
      <c r="C39" s="147">
        <v>93358</v>
      </c>
      <c r="D39" s="148" t="s">
        <v>81</v>
      </c>
      <c r="E39" s="149" t="s">
        <v>56</v>
      </c>
      <c r="F39" s="149">
        <v>116.73</v>
      </c>
      <c r="G39" s="149">
        <v>52.25</v>
      </c>
      <c r="H39" s="149">
        <f t="shared" si="2"/>
        <v>6099.14</v>
      </c>
      <c r="I39" s="156">
        <f t="shared" si="3"/>
        <v>0.00870851565194465</v>
      </c>
      <c r="J39" s="156">
        <f t="shared" si="4"/>
        <v>0.731322629534412</v>
      </c>
      <c r="K39" s="158"/>
      <c r="Q39">
        <f t="shared" si="0"/>
        <v>710178.09</v>
      </c>
      <c r="R39">
        <f t="shared" si="1"/>
        <v>700365.05</v>
      </c>
    </row>
    <row r="40" ht="30" spans="3:18">
      <c r="C40" s="147">
        <v>92580</v>
      </c>
      <c r="D40" s="148" t="s">
        <v>362</v>
      </c>
      <c r="E40" s="149" t="s">
        <v>17</v>
      </c>
      <c r="F40" s="149">
        <v>241</v>
      </c>
      <c r="G40" s="149">
        <v>23.33</v>
      </c>
      <c r="H40" s="149">
        <f t="shared" si="2"/>
        <v>5622.53</v>
      </c>
      <c r="I40" s="156">
        <f t="shared" si="3"/>
        <v>0.00802799911274842</v>
      </c>
      <c r="J40" s="156">
        <f t="shared" si="4"/>
        <v>0.73935062864716</v>
      </c>
      <c r="K40" s="158"/>
      <c r="Q40">
        <f t="shared" si="0"/>
        <v>710178.09</v>
      </c>
      <c r="R40">
        <f t="shared" si="1"/>
        <v>700365.05</v>
      </c>
    </row>
    <row r="41" ht="60" spans="3:18">
      <c r="C41" s="147">
        <v>94990</v>
      </c>
      <c r="D41" s="148" t="s">
        <v>716</v>
      </c>
      <c r="E41" s="149" t="s">
        <v>56</v>
      </c>
      <c r="F41" s="149">
        <v>8.593</v>
      </c>
      <c r="G41" s="149">
        <v>601.52</v>
      </c>
      <c r="H41" s="149">
        <f t="shared" si="2"/>
        <v>5168.86</v>
      </c>
      <c r="I41" s="156">
        <f t="shared" si="3"/>
        <v>0.00738023692073155</v>
      </c>
      <c r="J41" s="156">
        <f t="shared" si="4"/>
        <v>0.746730865567892</v>
      </c>
      <c r="K41" s="158"/>
      <c r="Q41">
        <f t="shared" si="0"/>
        <v>710178.09</v>
      </c>
      <c r="R41">
        <f t="shared" si="1"/>
        <v>700365.05</v>
      </c>
    </row>
    <row r="42" spans="3:18">
      <c r="C42" s="147" t="s">
        <v>152</v>
      </c>
      <c r="D42" s="148" t="s">
        <v>154</v>
      </c>
      <c r="E42" s="149" t="s">
        <v>95</v>
      </c>
      <c r="F42" s="149">
        <v>527.73</v>
      </c>
      <c r="G42" s="149">
        <v>8.52</v>
      </c>
      <c r="H42" s="149">
        <f t="shared" si="2"/>
        <v>4496.26</v>
      </c>
      <c r="I42" s="156">
        <f t="shared" si="3"/>
        <v>0.00641988060369375</v>
      </c>
      <c r="J42" s="156">
        <f t="shared" si="4"/>
        <v>0.753150746171586</v>
      </c>
      <c r="K42" s="158"/>
      <c r="Q42">
        <f t="shared" si="0"/>
        <v>710178.09</v>
      </c>
      <c r="R42">
        <f t="shared" si="1"/>
        <v>700365.05</v>
      </c>
    </row>
    <row r="43" ht="45" spans="3:18">
      <c r="C43" s="147">
        <v>92990</v>
      </c>
      <c r="D43" s="148" t="s">
        <v>623</v>
      </c>
      <c r="E43" s="149" t="s">
        <v>120</v>
      </c>
      <c r="F43" s="149">
        <v>141</v>
      </c>
      <c r="G43" s="149">
        <v>30.57</v>
      </c>
      <c r="H43" s="149">
        <f t="shared" si="2"/>
        <v>4310.37</v>
      </c>
      <c r="I43" s="156">
        <f t="shared" si="3"/>
        <v>0.00615446187670273</v>
      </c>
      <c r="J43" s="156">
        <f t="shared" si="4"/>
        <v>0.759305208048288</v>
      </c>
      <c r="K43" s="158"/>
      <c r="Q43">
        <f t="shared" si="0"/>
        <v>710178.09</v>
      </c>
      <c r="R43">
        <f t="shared" si="1"/>
        <v>700365.05</v>
      </c>
    </row>
    <row r="44" ht="90" spans="3:18">
      <c r="C44" s="147" t="s">
        <v>708</v>
      </c>
      <c r="D44" s="148" t="s">
        <v>710</v>
      </c>
      <c r="E44" s="149" t="s">
        <v>120</v>
      </c>
      <c r="F44" s="149">
        <v>101.11</v>
      </c>
      <c r="G44" s="149">
        <v>40.97</v>
      </c>
      <c r="H44" s="149">
        <f t="shared" si="2"/>
        <v>4142.48</v>
      </c>
      <c r="I44" s="156">
        <f t="shared" si="3"/>
        <v>0.00591474403241567</v>
      </c>
      <c r="J44" s="156">
        <f t="shared" si="4"/>
        <v>0.765219952080704</v>
      </c>
      <c r="K44" s="158"/>
      <c r="Q44">
        <f t="shared" si="0"/>
        <v>710178.09</v>
      </c>
      <c r="R44">
        <f t="shared" si="1"/>
        <v>700365.05</v>
      </c>
    </row>
    <row r="45" ht="30" spans="3:18">
      <c r="C45" s="147" t="s">
        <v>266</v>
      </c>
      <c r="D45" s="148" t="s">
        <v>268</v>
      </c>
      <c r="E45" s="149" t="s">
        <v>17</v>
      </c>
      <c r="F45" s="149">
        <v>42.71</v>
      </c>
      <c r="G45" s="149">
        <v>94.65</v>
      </c>
      <c r="H45" s="149">
        <f t="shared" si="2"/>
        <v>4042.5</v>
      </c>
      <c r="I45" s="156">
        <f t="shared" si="3"/>
        <v>0.00577198990726336</v>
      </c>
      <c r="J45" s="156">
        <f t="shared" si="4"/>
        <v>0.770991941987967</v>
      </c>
      <c r="K45" s="158"/>
      <c r="Q45">
        <f t="shared" si="0"/>
        <v>710178.09</v>
      </c>
      <c r="R45">
        <f t="shared" si="1"/>
        <v>700365.05</v>
      </c>
    </row>
    <row r="46" ht="45" spans="3:18">
      <c r="C46" s="147">
        <v>73361</v>
      </c>
      <c r="D46" s="148" t="s">
        <v>87</v>
      </c>
      <c r="E46" s="149" t="s">
        <v>56</v>
      </c>
      <c r="F46" s="149">
        <v>10.46</v>
      </c>
      <c r="G46" s="149">
        <v>378.67</v>
      </c>
      <c r="H46" s="149">
        <f t="shared" si="2"/>
        <v>3960.89</v>
      </c>
      <c r="I46" s="156">
        <f t="shared" si="3"/>
        <v>0.00565546496073726</v>
      </c>
      <c r="J46" s="156">
        <f t="shared" si="4"/>
        <v>0.776647406948704</v>
      </c>
      <c r="K46" s="158"/>
      <c r="Q46">
        <f t="shared" si="0"/>
        <v>710178.09</v>
      </c>
      <c r="R46">
        <f t="shared" si="1"/>
        <v>700365.05</v>
      </c>
    </row>
    <row r="47" ht="30" spans="3:18">
      <c r="C47" s="147" t="s">
        <v>505</v>
      </c>
      <c r="D47" s="148" t="s">
        <v>507</v>
      </c>
      <c r="E47" s="149" t="s">
        <v>120</v>
      </c>
      <c r="F47" s="149">
        <v>42.425</v>
      </c>
      <c r="G47" s="149">
        <v>91.86</v>
      </c>
      <c r="H47" s="149">
        <f t="shared" si="2"/>
        <v>3897.16</v>
      </c>
      <c r="I47" s="156">
        <f t="shared" si="3"/>
        <v>0.00556446955769709</v>
      </c>
      <c r="J47" s="156">
        <f t="shared" si="4"/>
        <v>0.782211876506402</v>
      </c>
      <c r="K47" s="158"/>
      <c r="Q47">
        <f t="shared" si="0"/>
        <v>710178.09</v>
      </c>
      <c r="R47">
        <f t="shared" si="1"/>
        <v>700365.05</v>
      </c>
    </row>
    <row r="48" spans="3:18">
      <c r="C48" s="147">
        <v>90466</v>
      </c>
      <c r="D48" s="148" t="s">
        <v>385</v>
      </c>
      <c r="E48" s="149" t="s">
        <v>120</v>
      </c>
      <c r="F48" s="149">
        <v>403.02</v>
      </c>
      <c r="G48" s="149">
        <v>9.66</v>
      </c>
      <c r="H48" s="149">
        <f t="shared" si="2"/>
        <v>3893.17</v>
      </c>
      <c r="I48" s="156">
        <f t="shared" si="3"/>
        <v>0.00555877252869771</v>
      </c>
      <c r="J48" s="156">
        <f t="shared" si="4"/>
        <v>0.787770649035099</v>
      </c>
      <c r="K48" s="158"/>
      <c r="Q48">
        <f t="shared" si="0"/>
        <v>710178.09</v>
      </c>
      <c r="R48">
        <f t="shared" si="1"/>
        <v>700365.05</v>
      </c>
    </row>
    <row r="49" ht="30" spans="3:18">
      <c r="C49" s="147" t="s">
        <v>82</v>
      </c>
      <c r="D49" s="148" t="s">
        <v>84</v>
      </c>
      <c r="E49" s="149" t="s">
        <v>56</v>
      </c>
      <c r="F49" s="149">
        <v>94.58</v>
      </c>
      <c r="G49" s="149">
        <v>39.63</v>
      </c>
      <c r="H49" s="149">
        <f t="shared" si="2"/>
        <v>3748.21</v>
      </c>
      <c r="I49" s="156">
        <f t="shared" si="3"/>
        <v>0.00535179475332186</v>
      </c>
      <c r="J49" s="156">
        <f t="shared" si="4"/>
        <v>0.793122443788421</v>
      </c>
      <c r="K49" s="158"/>
      <c r="Q49">
        <f t="shared" si="0"/>
        <v>710178.09</v>
      </c>
      <c r="R49">
        <f t="shared" si="1"/>
        <v>700365.05</v>
      </c>
    </row>
    <row r="50" spans="3:18">
      <c r="C50" s="147">
        <v>79627</v>
      </c>
      <c r="D50" s="148" t="s">
        <v>283</v>
      </c>
      <c r="E50" s="149" t="s">
        <v>17</v>
      </c>
      <c r="F50" s="149">
        <v>6.24</v>
      </c>
      <c r="G50" s="149">
        <v>581.68</v>
      </c>
      <c r="H50" s="149">
        <f t="shared" si="2"/>
        <v>3629.68</v>
      </c>
      <c r="I50" s="156">
        <f t="shared" si="3"/>
        <v>0.00518255444071631</v>
      </c>
      <c r="J50" s="156">
        <f t="shared" si="4"/>
        <v>0.798304998229137</v>
      </c>
      <c r="K50" s="158"/>
      <c r="Q50">
        <f t="shared" si="0"/>
        <v>710178.09</v>
      </c>
      <c r="R50">
        <f t="shared" si="1"/>
        <v>700365.05</v>
      </c>
    </row>
    <row r="51" customHeight="1" spans="3:18">
      <c r="C51" s="147" t="s">
        <v>752</v>
      </c>
      <c r="D51" s="148" t="s">
        <v>754</v>
      </c>
      <c r="E51" s="149" t="s">
        <v>17</v>
      </c>
      <c r="F51" s="149">
        <v>6</v>
      </c>
      <c r="G51" s="149">
        <v>598.14</v>
      </c>
      <c r="H51" s="149">
        <f t="shared" si="2"/>
        <v>3588.84</v>
      </c>
      <c r="I51" s="156">
        <f t="shared" si="3"/>
        <v>0.00512424199351467</v>
      </c>
      <c r="J51" s="156">
        <f t="shared" si="4"/>
        <v>0.803429240222652</v>
      </c>
      <c r="K51" s="159"/>
      <c r="Q51">
        <f t="shared" si="0"/>
        <v>710178.09</v>
      </c>
      <c r="R51">
        <f t="shared" si="1"/>
        <v>700365.05</v>
      </c>
    </row>
    <row r="52" ht="106.5" customHeight="1" spans="3:18">
      <c r="C52" s="147" t="s">
        <v>32</v>
      </c>
      <c r="D52" s="148" t="s">
        <v>34</v>
      </c>
      <c r="E52" s="149" t="s">
        <v>17</v>
      </c>
      <c r="F52" s="149">
        <v>6</v>
      </c>
      <c r="G52" s="149">
        <v>547.23</v>
      </c>
      <c r="H52" s="149">
        <f t="shared" si="2"/>
        <v>3283.38</v>
      </c>
      <c r="I52" s="156">
        <f t="shared" si="3"/>
        <v>0.00468809801402854</v>
      </c>
      <c r="J52" s="156">
        <f t="shared" si="4"/>
        <v>0.808117338236681</v>
      </c>
      <c r="K52" s="160" t="s">
        <v>1441</v>
      </c>
      <c r="Q52">
        <f t="shared" si="0"/>
        <v>710178.09</v>
      </c>
      <c r="R52">
        <f t="shared" si="1"/>
        <v>700365.05</v>
      </c>
    </row>
    <row r="53" ht="45" spans="3:18">
      <c r="C53" s="147" t="s">
        <v>365</v>
      </c>
      <c r="D53" s="148" t="s">
        <v>367</v>
      </c>
      <c r="E53" s="149" t="s">
        <v>17</v>
      </c>
      <c r="F53" s="149">
        <v>242</v>
      </c>
      <c r="G53" s="149">
        <v>11.79</v>
      </c>
      <c r="H53" s="149">
        <f t="shared" si="2"/>
        <v>2853.18</v>
      </c>
      <c r="I53" s="156">
        <f t="shared" si="3"/>
        <v>0.004073846917404</v>
      </c>
      <c r="J53" s="156">
        <f t="shared" si="4"/>
        <v>0.812191185154085</v>
      </c>
      <c r="K53" s="161"/>
      <c r="Q53">
        <f t="shared" si="0"/>
        <v>710178.09</v>
      </c>
      <c r="R53">
        <f t="shared" si="1"/>
        <v>700365.05</v>
      </c>
    </row>
    <row r="54" ht="45" spans="3:18">
      <c r="C54" s="147">
        <v>87905</v>
      </c>
      <c r="D54" s="148" t="s">
        <v>290</v>
      </c>
      <c r="E54" s="149" t="s">
        <v>17</v>
      </c>
      <c r="F54" s="149">
        <v>439.69</v>
      </c>
      <c r="G54" s="149">
        <v>6.31</v>
      </c>
      <c r="H54" s="149">
        <f t="shared" si="2"/>
        <v>2774.44</v>
      </c>
      <c r="I54" s="156">
        <f t="shared" si="3"/>
        <v>0.00396141983384237</v>
      </c>
      <c r="J54" s="156">
        <f t="shared" si="4"/>
        <v>0.816152604987927</v>
      </c>
      <c r="K54" s="161"/>
      <c r="Q54">
        <f t="shared" si="0"/>
        <v>710178.09</v>
      </c>
      <c r="R54">
        <f t="shared" si="1"/>
        <v>700365.05</v>
      </c>
    </row>
    <row r="55" ht="30" spans="3:18">
      <c r="C55" s="147" t="s">
        <v>312</v>
      </c>
      <c r="D55" s="148" t="s">
        <v>314</v>
      </c>
      <c r="E55" s="149" t="s">
        <v>21</v>
      </c>
      <c r="F55" s="149">
        <v>1</v>
      </c>
      <c r="G55" s="149">
        <v>2681.87</v>
      </c>
      <c r="H55" s="149">
        <f t="shared" si="2"/>
        <v>2681.87</v>
      </c>
      <c r="I55" s="156">
        <f t="shared" si="3"/>
        <v>0.00382924590540319</v>
      </c>
      <c r="J55" s="156">
        <f t="shared" si="4"/>
        <v>0.81998185089333</v>
      </c>
      <c r="K55" s="161"/>
      <c r="Q55">
        <f t="shared" si="0"/>
        <v>710178.09</v>
      </c>
      <c r="R55">
        <f t="shared" si="1"/>
        <v>700365.05</v>
      </c>
    </row>
    <row r="56" ht="45" spans="3:18">
      <c r="C56" s="147">
        <v>91926</v>
      </c>
      <c r="D56" s="148" t="s">
        <v>614</v>
      </c>
      <c r="E56" s="149" t="s">
        <v>120</v>
      </c>
      <c r="F56" s="149">
        <v>988</v>
      </c>
      <c r="G56" s="149">
        <v>2.7</v>
      </c>
      <c r="H56" s="149">
        <f t="shared" si="2"/>
        <v>2667.6</v>
      </c>
      <c r="I56" s="156">
        <f t="shared" si="3"/>
        <v>0.00380887081672622</v>
      </c>
      <c r="J56" s="156">
        <f t="shared" si="4"/>
        <v>0.823790721710057</v>
      </c>
      <c r="K56" s="161"/>
      <c r="Q56">
        <f t="shared" si="0"/>
        <v>710178.09</v>
      </c>
      <c r="R56">
        <f t="shared" si="1"/>
        <v>700365.05</v>
      </c>
    </row>
    <row r="57" ht="30" spans="3:18">
      <c r="C57" s="147" t="s">
        <v>916</v>
      </c>
      <c r="D57" s="148" t="s">
        <v>545</v>
      </c>
      <c r="E57" s="149" t="s">
        <v>21</v>
      </c>
      <c r="F57" s="149">
        <v>12</v>
      </c>
      <c r="G57" s="149">
        <v>219.08</v>
      </c>
      <c r="H57" s="149">
        <f t="shared" si="2"/>
        <v>2628.96</v>
      </c>
      <c r="I57" s="156">
        <f t="shared" si="3"/>
        <v>0.00375369958852173</v>
      </c>
      <c r="J57" s="156">
        <f t="shared" si="4"/>
        <v>0.827544421298578</v>
      </c>
      <c r="K57" s="161"/>
      <c r="Q57">
        <f t="shared" si="0"/>
        <v>710178.09</v>
      </c>
      <c r="R57">
        <f t="shared" si="1"/>
        <v>700365.05</v>
      </c>
    </row>
    <row r="58" ht="30" spans="3:18">
      <c r="C58" s="147" t="s">
        <v>315</v>
      </c>
      <c r="D58" s="148" t="s">
        <v>317</v>
      </c>
      <c r="E58" s="149" t="s">
        <v>17</v>
      </c>
      <c r="F58" s="149">
        <v>3.24</v>
      </c>
      <c r="G58" s="149">
        <v>793.83</v>
      </c>
      <c r="H58" s="149">
        <f t="shared" si="2"/>
        <v>2572.01</v>
      </c>
      <c r="I58" s="156">
        <f t="shared" si="3"/>
        <v>0.00367238485130005</v>
      </c>
      <c r="J58" s="156">
        <f t="shared" si="4"/>
        <v>0.831216806149878</v>
      </c>
      <c r="K58" s="161"/>
      <c r="Q58">
        <f t="shared" si="0"/>
        <v>710178.09</v>
      </c>
      <c r="R58">
        <f t="shared" si="1"/>
        <v>700365.05</v>
      </c>
    </row>
    <row r="59" ht="30" spans="3:18">
      <c r="C59" s="147" t="s">
        <v>350</v>
      </c>
      <c r="D59" s="148" t="s">
        <v>352</v>
      </c>
      <c r="E59" s="149" t="s">
        <v>120</v>
      </c>
      <c r="F59" s="149">
        <v>25</v>
      </c>
      <c r="G59" s="149">
        <v>102.63</v>
      </c>
      <c r="H59" s="149">
        <f t="shared" si="2"/>
        <v>2565.75</v>
      </c>
      <c r="I59" s="156">
        <f t="shared" si="3"/>
        <v>0.00366344665542634</v>
      </c>
      <c r="J59" s="156">
        <f t="shared" si="4"/>
        <v>0.834880252805305</v>
      </c>
      <c r="K59" s="161"/>
      <c r="Q59">
        <f t="shared" si="0"/>
        <v>710178.09</v>
      </c>
      <c r="R59">
        <f t="shared" si="1"/>
        <v>700365.05</v>
      </c>
    </row>
    <row r="60" spans="3:18">
      <c r="C60" s="147">
        <v>93208</v>
      </c>
      <c r="D60" s="148" t="s">
        <v>38</v>
      </c>
      <c r="E60" s="149" t="s">
        <v>17</v>
      </c>
      <c r="F60" s="149">
        <v>6</v>
      </c>
      <c r="G60" s="149">
        <v>427.35</v>
      </c>
      <c r="H60" s="149">
        <f t="shared" si="2"/>
        <v>2564.1</v>
      </c>
      <c r="I60" s="156">
        <f t="shared" si="3"/>
        <v>0.00366109074117848</v>
      </c>
      <c r="J60" s="156">
        <f t="shared" si="4"/>
        <v>0.838541343546483</v>
      </c>
      <c r="K60" s="161"/>
      <c r="Q60">
        <f t="shared" si="0"/>
        <v>710178.09</v>
      </c>
      <c r="R60">
        <f t="shared" si="1"/>
        <v>700365.05</v>
      </c>
    </row>
    <row r="61" ht="30" spans="3:18">
      <c r="C61" s="147" t="s">
        <v>368</v>
      </c>
      <c r="D61" s="148" t="s">
        <v>370</v>
      </c>
      <c r="E61" s="149" t="s">
        <v>120</v>
      </c>
      <c r="F61" s="149">
        <v>29.7</v>
      </c>
      <c r="G61" s="149">
        <v>85.25</v>
      </c>
      <c r="H61" s="149">
        <f t="shared" si="2"/>
        <v>2531.93</v>
      </c>
      <c r="I61" s="156">
        <f t="shared" si="3"/>
        <v>0.00361515755247924</v>
      </c>
      <c r="J61" s="156">
        <f t="shared" si="4"/>
        <v>0.842156501098962</v>
      </c>
      <c r="K61" s="161"/>
      <c r="Q61">
        <f t="shared" si="0"/>
        <v>710178.09</v>
      </c>
      <c r="R61">
        <f t="shared" si="1"/>
        <v>700365.05</v>
      </c>
    </row>
    <row r="62" ht="30" spans="3:18">
      <c r="C62" s="147" t="s">
        <v>512</v>
      </c>
      <c r="D62" s="148" t="s">
        <v>514</v>
      </c>
      <c r="E62" s="149" t="s">
        <v>21</v>
      </c>
      <c r="F62" s="149">
        <v>6</v>
      </c>
      <c r="G62" s="149">
        <v>410.97</v>
      </c>
      <c r="H62" s="149">
        <f t="shared" si="2"/>
        <v>2465.82</v>
      </c>
      <c r="I62" s="156">
        <f t="shared" si="3"/>
        <v>0.00352076392161488</v>
      </c>
      <c r="J62" s="156">
        <f t="shared" si="4"/>
        <v>0.845677265020577</v>
      </c>
      <c r="K62" s="161"/>
      <c r="Q62">
        <f t="shared" si="0"/>
        <v>710178.09</v>
      </c>
      <c r="R62">
        <f t="shared" si="1"/>
        <v>700365.05</v>
      </c>
    </row>
    <row r="63" spans="3:18">
      <c r="C63" s="147">
        <v>94964</v>
      </c>
      <c r="D63" s="148" t="s">
        <v>89</v>
      </c>
      <c r="E63" s="149" t="s">
        <v>56</v>
      </c>
      <c r="F63" s="149">
        <f>4.5+1.98</f>
        <v>6.48</v>
      </c>
      <c r="G63" s="149">
        <v>370.04</v>
      </c>
      <c r="H63" s="149">
        <f t="shared" si="2"/>
        <v>2397.86</v>
      </c>
      <c r="I63" s="156">
        <f t="shared" si="3"/>
        <v>0.00342372881113928</v>
      </c>
      <c r="J63" s="156">
        <f t="shared" si="4"/>
        <v>0.849100993831716</v>
      </c>
      <c r="K63" s="161"/>
      <c r="Q63">
        <f t="shared" si="0"/>
        <v>710178.09</v>
      </c>
      <c r="R63">
        <f t="shared" si="1"/>
        <v>700365.05</v>
      </c>
    </row>
    <row r="64" ht="45" spans="3:18">
      <c r="C64" s="147">
        <v>87879</v>
      </c>
      <c r="D64" s="148" t="s">
        <v>288</v>
      </c>
      <c r="E64" s="149" t="s">
        <v>17</v>
      </c>
      <c r="F64" s="149">
        <v>769.43</v>
      </c>
      <c r="G64" s="149">
        <v>3.05</v>
      </c>
      <c r="H64" s="149">
        <f t="shared" si="2"/>
        <v>2346.76</v>
      </c>
      <c r="I64" s="156">
        <f t="shared" si="3"/>
        <v>0.00335076686079638</v>
      </c>
      <c r="J64" s="156">
        <f t="shared" si="4"/>
        <v>0.852451760692513</v>
      </c>
      <c r="K64" s="161"/>
      <c r="Q64">
        <f t="shared" si="0"/>
        <v>710178.09</v>
      </c>
      <c r="R64">
        <f t="shared" si="1"/>
        <v>700365.05</v>
      </c>
    </row>
    <row r="65" ht="45" spans="3:18">
      <c r="C65" s="147" t="s">
        <v>309</v>
      </c>
      <c r="D65" s="148" t="s">
        <v>311</v>
      </c>
      <c r="E65" s="149" t="s">
        <v>21</v>
      </c>
      <c r="F65" s="149">
        <v>2</v>
      </c>
      <c r="G65" s="149">
        <v>1158.6</v>
      </c>
      <c r="H65" s="149">
        <f t="shared" si="2"/>
        <v>2317.2</v>
      </c>
      <c r="I65" s="156">
        <f t="shared" si="3"/>
        <v>0.00330856030008922</v>
      </c>
      <c r="J65" s="156">
        <f t="shared" si="4"/>
        <v>0.855760320992602</v>
      </c>
      <c r="K65" s="161"/>
      <c r="Q65">
        <f t="shared" si="0"/>
        <v>710178.09</v>
      </c>
      <c r="R65">
        <f t="shared" si="1"/>
        <v>700365.05</v>
      </c>
    </row>
    <row r="66" ht="45" spans="3:18">
      <c r="C66" s="147">
        <v>91928</v>
      </c>
      <c r="D66" s="148" t="s">
        <v>616</v>
      </c>
      <c r="E66" s="149" t="s">
        <v>120</v>
      </c>
      <c r="F66" s="149">
        <v>603.7</v>
      </c>
      <c r="G66" s="149">
        <v>3.82</v>
      </c>
      <c r="H66" s="149">
        <f t="shared" si="2"/>
        <v>2306.13</v>
      </c>
      <c r="I66" s="156">
        <f t="shared" si="3"/>
        <v>0.00329275425722629</v>
      </c>
      <c r="J66" s="156">
        <f t="shared" si="4"/>
        <v>0.859053075249828</v>
      </c>
      <c r="K66" s="161"/>
      <c r="Q66">
        <f t="shared" si="0"/>
        <v>710178.09</v>
      </c>
      <c r="R66">
        <f t="shared" si="1"/>
        <v>700365.05</v>
      </c>
    </row>
    <row r="67" spans="3:18">
      <c r="C67" s="147" t="s">
        <v>217</v>
      </c>
      <c r="D67" s="148" t="s">
        <v>151</v>
      </c>
      <c r="E67" s="149" t="s">
        <v>95</v>
      </c>
      <c r="F67" s="149">
        <v>279.45</v>
      </c>
      <c r="G67" s="149">
        <v>8.1</v>
      </c>
      <c r="H67" s="149">
        <f t="shared" si="2"/>
        <v>2263.55</v>
      </c>
      <c r="I67" s="156">
        <f t="shared" si="3"/>
        <v>0.00323195739136326</v>
      </c>
      <c r="J67" s="156">
        <f t="shared" si="4"/>
        <v>0.862285032641192</v>
      </c>
      <c r="K67" s="161"/>
      <c r="Q67">
        <f t="shared" si="0"/>
        <v>710178.09</v>
      </c>
      <c r="R67">
        <f t="shared" si="1"/>
        <v>700365.05</v>
      </c>
    </row>
    <row r="68" spans="3:18">
      <c r="C68" s="147">
        <v>86941</v>
      </c>
      <c r="D68" s="148" t="s">
        <v>473</v>
      </c>
      <c r="E68" s="149" t="s">
        <v>21</v>
      </c>
      <c r="F68" s="149">
        <v>5</v>
      </c>
      <c r="G68" s="149">
        <v>440.73</v>
      </c>
      <c r="H68" s="149">
        <f t="shared" si="2"/>
        <v>2203.65</v>
      </c>
      <c r="I68" s="156">
        <f t="shared" si="3"/>
        <v>0.00314643056503176</v>
      </c>
      <c r="J68" s="156">
        <f t="shared" si="4"/>
        <v>0.865431463206223</v>
      </c>
      <c r="K68" s="161"/>
      <c r="Q68">
        <f t="shared" si="0"/>
        <v>710178.09</v>
      </c>
      <c r="R68">
        <f t="shared" si="1"/>
        <v>700365.05</v>
      </c>
    </row>
    <row r="69" ht="30" spans="3:18">
      <c r="C69" s="147" t="s">
        <v>64</v>
      </c>
      <c r="D69" s="148" t="s">
        <v>66</v>
      </c>
      <c r="E69" s="149" t="s">
        <v>17</v>
      </c>
      <c r="F69" s="149">
        <v>92.43</v>
      </c>
      <c r="G69" s="149">
        <v>23.11</v>
      </c>
      <c r="H69" s="149">
        <f t="shared" si="2"/>
        <v>2136.06</v>
      </c>
      <c r="I69" s="156">
        <f t="shared" si="3"/>
        <v>0.00304992375047841</v>
      </c>
      <c r="J69" s="156">
        <f t="shared" si="4"/>
        <v>0.868481386956702</v>
      </c>
      <c r="K69" s="161"/>
      <c r="Q69">
        <f t="shared" si="0"/>
        <v>710178.09</v>
      </c>
      <c r="R69">
        <f t="shared" si="1"/>
        <v>700365.05</v>
      </c>
    </row>
    <row r="70" ht="30" spans="3:18">
      <c r="C70" s="147" t="s">
        <v>492</v>
      </c>
      <c r="D70" s="148" t="s">
        <v>494</v>
      </c>
      <c r="E70" s="149" t="s">
        <v>120</v>
      </c>
      <c r="F70" s="149">
        <v>49.7</v>
      </c>
      <c r="G70" s="149">
        <v>41.46</v>
      </c>
      <c r="H70" s="149">
        <f t="shared" si="2"/>
        <v>2060.56</v>
      </c>
      <c r="I70" s="156">
        <f t="shared" si="3"/>
        <v>0.00294212282580349</v>
      </c>
      <c r="J70" s="156">
        <f t="shared" si="4"/>
        <v>0.871423509782505</v>
      </c>
      <c r="K70" s="161"/>
      <c r="Q70">
        <f t="shared" si="0"/>
        <v>710178.09</v>
      </c>
      <c r="R70">
        <f t="shared" si="1"/>
        <v>700365.05</v>
      </c>
    </row>
    <row r="71" spans="3:18">
      <c r="C71" s="147" t="s">
        <v>149</v>
      </c>
      <c r="D71" s="148" t="s">
        <v>151</v>
      </c>
      <c r="E71" s="149" t="s">
        <v>95</v>
      </c>
      <c r="F71" s="149">
        <v>191.64</v>
      </c>
      <c r="G71" s="149">
        <v>10.54</v>
      </c>
      <c r="H71" s="149">
        <f t="shared" si="2"/>
        <v>2019.89</v>
      </c>
      <c r="I71" s="156">
        <f t="shared" si="3"/>
        <v>0.00288405310916072</v>
      </c>
      <c r="J71" s="156">
        <f t="shared" si="4"/>
        <v>0.874307562891666</v>
      </c>
      <c r="K71" s="161"/>
      <c r="Q71">
        <f t="shared" si="0"/>
        <v>710178.09</v>
      </c>
      <c r="R71">
        <f t="shared" si="1"/>
        <v>700365.05</v>
      </c>
    </row>
    <row r="72" spans="3:18">
      <c r="C72" s="147" t="s">
        <v>53</v>
      </c>
      <c r="D72" s="148" t="s">
        <v>55</v>
      </c>
      <c r="E72" s="149" t="s">
        <v>56</v>
      </c>
      <c r="F72" s="149">
        <v>26.34</v>
      </c>
      <c r="G72" s="149">
        <v>75.54</v>
      </c>
      <c r="H72" s="149">
        <f t="shared" si="2"/>
        <v>1989.72</v>
      </c>
      <c r="I72" s="156">
        <f t="shared" si="3"/>
        <v>0.00284097557409525</v>
      </c>
      <c r="J72" s="156">
        <f t="shared" si="4"/>
        <v>0.877148538465761</v>
      </c>
      <c r="K72" s="161"/>
      <c r="Q72">
        <f t="shared" ref="Q72:Q135" si="5">$Q$7</f>
        <v>710178.09</v>
      </c>
      <c r="R72">
        <f t="shared" ref="R72:R135" si="6">$R$7</f>
        <v>700365.05</v>
      </c>
    </row>
    <row r="73" ht="30" spans="3:18">
      <c r="C73" s="147" t="s">
        <v>263</v>
      </c>
      <c r="D73" s="148" t="s">
        <v>265</v>
      </c>
      <c r="E73" s="149" t="s">
        <v>17</v>
      </c>
      <c r="F73" s="149">
        <v>18.95</v>
      </c>
      <c r="G73" s="149">
        <v>104.73</v>
      </c>
      <c r="H73" s="149">
        <f t="shared" ref="H73:H136" si="7">ROUND(F73*G73,2)</f>
        <v>1984.63</v>
      </c>
      <c r="I73" s="156">
        <f t="shared" si="3"/>
        <v>0.0028337079355973</v>
      </c>
      <c r="J73" s="156">
        <f t="shared" si="4"/>
        <v>0.879982246401359</v>
      </c>
      <c r="K73" s="161"/>
      <c r="Q73">
        <f t="shared" si="5"/>
        <v>710178.09</v>
      </c>
      <c r="R73">
        <f t="shared" si="6"/>
        <v>700365.05</v>
      </c>
    </row>
    <row r="74" ht="30" spans="3:18">
      <c r="C74" s="147">
        <v>9850</v>
      </c>
      <c r="D74" s="148" t="s">
        <v>496</v>
      </c>
      <c r="E74" s="149" t="s">
        <v>120</v>
      </c>
      <c r="F74" s="149">
        <v>22.04</v>
      </c>
      <c r="G74" s="149">
        <v>90</v>
      </c>
      <c r="H74" s="149">
        <f t="shared" si="7"/>
        <v>1983.6</v>
      </c>
      <c r="I74" s="156">
        <f t="shared" ref="I74:I137" si="8">H74/$R$7</f>
        <v>0.00283223727397591</v>
      </c>
      <c r="J74" s="156">
        <f t="shared" si="4"/>
        <v>0.882814483675334</v>
      </c>
      <c r="K74" s="161"/>
      <c r="Q74">
        <f t="shared" si="5"/>
        <v>710178.09</v>
      </c>
      <c r="R74">
        <f t="shared" si="6"/>
        <v>700365.05</v>
      </c>
    </row>
    <row r="75" spans="3:18">
      <c r="C75" s="147">
        <v>93210</v>
      </c>
      <c r="D75" s="148" t="s">
        <v>36</v>
      </c>
      <c r="E75" s="149" t="s">
        <v>17</v>
      </c>
      <c r="F75" s="149">
        <v>6</v>
      </c>
      <c r="G75" s="149">
        <v>330.55</v>
      </c>
      <c r="H75" s="149">
        <f t="shared" si="7"/>
        <v>1983.3</v>
      </c>
      <c r="I75" s="156">
        <f t="shared" si="8"/>
        <v>0.00283180892593084</v>
      </c>
      <c r="J75" s="156">
        <f t="shared" ref="J75:J138" si="9">I75+J74</f>
        <v>0.885646292601265</v>
      </c>
      <c r="K75" s="161"/>
      <c r="Q75">
        <f t="shared" si="5"/>
        <v>710178.09</v>
      </c>
      <c r="R75">
        <f t="shared" si="6"/>
        <v>700365.05</v>
      </c>
    </row>
    <row r="76" ht="30" spans="3:18">
      <c r="C76" s="147" t="s">
        <v>122</v>
      </c>
      <c r="D76" s="148" t="s">
        <v>124</v>
      </c>
      <c r="E76" s="149" t="s">
        <v>17</v>
      </c>
      <c r="F76" s="149">
        <f>191.84+1043.734</f>
        <v>1235.574</v>
      </c>
      <c r="G76" s="149">
        <v>1.55</v>
      </c>
      <c r="H76" s="149">
        <f t="shared" si="7"/>
        <v>1915.14</v>
      </c>
      <c r="I76" s="156">
        <f t="shared" si="8"/>
        <v>0.00273448825009186</v>
      </c>
      <c r="J76" s="156">
        <f t="shared" si="9"/>
        <v>0.888380780851357</v>
      </c>
      <c r="K76" s="161"/>
      <c r="Q76">
        <f t="shared" si="5"/>
        <v>710178.09</v>
      </c>
      <c r="R76">
        <f t="shared" si="6"/>
        <v>700365.05</v>
      </c>
    </row>
    <row r="77" ht="45" spans="3:18">
      <c r="C77" s="147">
        <v>91854</v>
      </c>
      <c r="D77" s="148" t="s">
        <v>584</v>
      </c>
      <c r="E77" s="149" t="s">
        <v>120</v>
      </c>
      <c r="F77" s="149">
        <f>259+44.8</f>
        <v>303.8</v>
      </c>
      <c r="G77" s="149">
        <v>6.1</v>
      </c>
      <c r="H77" s="149">
        <f t="shared" si="7"/>
        <v>1853.18</v>
      </c>
      <c r="I77" s="156">
        <f t="shared" si="8"/>
        <v>0.00264602010051758</v>
      </c>
      <c r="J77" s="156">
        <f t="shared" si="9"/>
        <v>0.891026800951875</v>
      </c>
      <c r="K77" s="161"/>
      <c r="Q77">
        <f t="shared" si="5"/>
        <v>710178.09</v>
      </c>
      <c r="R77">
        <f t="shared" si="6"/>
        <v>700365.05</v>
      </c>
    </row>
    <row r="78" ht="45" spans="3:18">
      <c r="C78" s="147">
        <v>87894</v>
      </c>
      <c r="D78" s="148" t="s">
        <v>114</v>
      </c>
      <c r="E78" s="149" t="s">
        <v>17</v>
      </c>
      <c r="F78" s="149">
        <v>383.68</v>
      </c>
      <c r="G78" s="149">
        <v>4.8</v>
      </c>
      <c r="H78" s="149">
        <f t="shared" si="7"/>
        <v>1841.66</v>
      </c>
      <c r="I78" s="156">
        <f t="shared" si="8"/>
        <v>0.00262957153558705</v>
      </c>
      <c r="J78" s="156">
        <f t="shared" si="9"/>
        <v>0.893656372487462</v>
      </c>
      <c r="K78" s="161"/>
      <c r="Q78">
        <f t="shared" si="5"/>
        <v>710178.09</v>
      </c>
      <c r="R78">
        <f t="shared" si="6"/>
        <v>700365.05</v>
      </c>
    </row>
    <row r="79" ht="30" spans="3:18">
      <c r="C79" s="147" t="s">
        <v>466</v>
      </c>
      <c r="D79" s="148" t="s">
        <v>468</v>
      </c>
      <c r="E79" s="149" t="s">
        <v>21</v>
      </c>
      <c r="F79" s="149">
        <v>6</v>
      </c>
      <c r="G79" s="149">
        <v>306.3</v>
      </c>
      <c r="H79" s="149">
        <f t="shared" si="7"/>
        <v>1837.8</v>
      </c>
      <c r="I79" s="156">
        <f t="shared" si="8"/>
        <v>0.00262406012407387</v>
      </c>
      <c r="J79" s="156">
        <f t="shared" si="9"/>
        <v>0.896280432611536</v>
      </c>
      <c r="K79" s="161"/>
      <c r="Q79">
        <f t="shared" si="5"/>
        <v>710178.09</v>
      </c>
      <c r="R79">
        <f t="shared" si="6"/>
        <v>700365.05</v>
      </c>
    </row>
    <row r="80" spans="3:18">
      <c r="C80" s="147" t="s">
        <v>67</v>
      </c>
      <c r="D80" s="148" t="s">
        <v>69</v>
      </c>
      <c r="E80" s="149" t="s">
        <v>17</v>
      </c>
      <c r="F80" s="149">
        <v>92.43</v>
      </c>
      <c r="G80" s="149">
        <v>19.81</v>
      </c>
      <c r="H80" s="149">
        <f t="shared" si="7"/>
        <v>1831.04</v>
      </c>
      <c r="I80" s="156">
        <f t="shared" si="8"/>
        <v>0.00261440801479172</v>
      </c>
      <c r="J80" s="156">
        <f t="shared" si="9"/>
        <v>0.898894840626327</v>
      </c>
      <c r="K80" s="161"/>
      <c r="Q80">
        <f t="shared" si="5"/>
        <v>710178.09</v>
      </c>
      <c r="R80">
        <f t="shared" si="6"/>
        <v>700365.05</v>
      </c>
    </row>
    <row r="81" spans="3:18">
      <c r="C81" s="147">
        <v>93583</v>
      </c>
      <c r="D81" s="148" t="s">
        <v>42</v>
      </c>
      <c r="E81" s="149" t="s">
        <v>17</v>
      </c>
      <c r="F81" s="149">
        <v>6</v>
      </c>
      <c r="G81" s="149">
        <v>269.67</v>
      </c>
      <c r="H81" s="149">
        <f t="shared" si="7"/>
        <v>1618.02</v>
      </c>
      <c r="I81" s="156">
        <f t="shared" si="8"/>
        <v>0.00231025234625857</v>
      </c>
      <c r="J81" s="156">
        <f t="shared" si="9"/>
        <v>0.901205092972586</v>
      </c>
      <c r="K81" s="161"/>
      <c r="Q81">
        <f t="shared" si="5"/>
        <v>710178.09</v>
      </c>
      <c r="R81">
        <f t="shared" si="6"/>
        <v>700365.05</v>
      </c>
    </row>
    <row r="82" ht="30" spans="3:18">
      <c r="C82" s="147" t="s">
        <v>18</v>
      </c>
      <c r="D82" s="148" t="s">
        <v>20</v>
      </c>
      <c r="E82" s="149" t="s">
        <v>21</v>
      </c>
      <c r="F82" s="149">
        <v>5</v>
      </c>
      <c r="G82" s="149">
        <v>317.04</v>
      </c>
      <c r="H82" s="149">
        <f t="shared" si="7"/>
        <v>1585.2</v>
      </c>
      <c r="I82" s="156">
        <f t="shared" si="8"/>
        <v>0.00226339107012836</v>
      </c>
      <c r="J82" s="156">
        <f t="shared" si="9"/>
        <v>0.903468484042714</v>
      </c>
      <c r="K82" s="161"/>
      <c r="Q82">
        <f t="shared" si="5"/>
        <v>710178.09</v>
      </c>
      <c r="R82">
        <f t="shared" si="6"/>
        <v>700365.05</v>
      </c>
    </row>
    <row r="83" ht="45" spans="3:18">
      <c r="C83" s="147">
        <v>92986</v>
      </c>
      <c r="D83" s="148" t="s">
        <v>621</v>
      </c>
      <c r="E83" s="149" t="s">
        <v>120</v>
      </c>
      <c r="F83" s="149">
        <v>95.6</v>
      </c>
      <c r="G83" s="149">
        <v>16.17</v>
      </c>
      <c r="H83" s="149">
        <f t="shared" si="7"/>
        <v>1545.85</v>
      </c>
      <c r="I83" s="156">
        <f t="shared" si="8"/>
        <v>0.00220720608488388</v>
      </c>
      <c r="J83" s="156">
        <f t="shared" si="9"/>
        <v>0.905675690127598</v>
      </c>
      <c r="K83" s="161"/>
      <c r="Q83">
        <f t="shared" si="5"/>
        <v>710178.09</v>
      </c>
      <c r="R83">
        <f t="shared" si="6"/>
        <v>700365.05</v>
      </c>
    </row>
    <row r="84" ht="45" spans="3:18">
      <c r="C84" s="147" t="s">
        <v>27</v>
      </c>
      <c r="D84" s="148" t="s">
        <v>29</v>
      </c>
      <c r="E84" s="149" t="s">
        <v>17</v>
      </c>
      <c r="F84" s="149">
        <v>5.18</v>
      </c>
      <c r="G84" s="149">
        <v>295.56</v>
      </c>
      <c r="H84" s="149">
        <f t="shared" si="7"/>
        <v>1531</v>
      </c>
      <c r="I84" s="156">
        <f t="shared" si="8"/>
        <v>0.00218600285665311</v>
      </c>
      <c r="J84" s="156">
        <f t="shared" si="9"/>
        <v>0.907861692984251</v>
      </c>
      <c r="K84" s="161"/>
      <c r="Q84">
        <f t="shared" si="5"/>
        <v>710178.09</v>
      </c>
      <c r="R84">
        <f t="shared" si="6"/>
        <v>700365.05</v>
      </c>
    </row>
    <row r="85" ht="30" spans="3:18">
      <c r="C85" s="147" t="s">
        <v>347</v>
      </c>
      <c r="D85" s="148" t="s">
        <v>349</v>
      </c>
      <c r="E85" s="149" t="s">
        <v>120</v>
      </c>
      <c r="F85" s="149">
        <v>20.5</v>
      </c>
      <c r="G85" s="149">
        <v>73.62</v>
      </c>
      <c r="H85" s="149">
        <f t="shared" si="7"/>
        <v>1509.21</v>
      </c>
      <c r="I85" s="156">
        <f t="shared" si="8"/>
        <v>0.00215489051031316</v>
      </c>
      <c r="J85" s="156">
        <f t="shared" si="9"/>
        <v>0.910016583494565</v>
      </c>
      <c r="K85" s="161"/>
      <c r="Q85">
        <f t="shared" si="5"/>
        <v>710178.09</v>
      </c>
      <c r="R85">
        <f t="shared" si="6"/>
        <v>700365.05</v>
      </c>
    </row>
    <row r="86" ht="45" spans="3:18">
      <c r="C86" s="147" t="s">
        <v>161</v>
      </c>
      <c r="D86" s="148" t="s">
        <v>163</v>
      </c>
      <c r="E86" s="149" t="s">
        <v>17</v>
      </c>
      <c r="F86" s="149">
        <v>67.19</v>
      </c>
      <c r="G86" s="149">
        <v>21.57</v>
      </c>
      <c r="H86" s="149">
        <f t="shared" si="7"/>
        <v>1449.29</v>
      </c>
      <c r="I86" s="156">
        <f t="shared" si="8"/>
        <v>0.00206933512744532</v>
      </c>
      <c r="J86" s="156">
        <f t="shared" si="9"/>
        <v>0.91208591862201</v>
      </c>
      <c r="K86" s="161"/>
      <c r="Q86">
        <f t="shared" si="5"/>
        <v>710178.09</v>
      </c>
      <c r="R86">
        <f t="shared" si="6"/>
        <v>700365.05</v>
      </c>
    </row>
    <row r="87" ht="30" spans="3:18">
      <c r="C87" s="147" t="s">
        <v>924</v>
      </c>
      <c r="D87" s="148" t="s">
        <v>549</v>
      </c>
      <c r="E87" s="149" t="s">
        <v>21</v>
      </c>
      <c r="F87" s="149">
        <v>14</v>
      </c>
      <c r="G87" s="149">
        <v>102.07</v>
      </c>
      <c r="H87" s="149">
        <f t="shared" si="7"/>
        <v>1428.98</v>
      </c>
      <c r="I87" s="156">
        <f t="shared" si="8"/>
        <v>0.00204033596479436</v>
      </c>
      <c r="J87" s="156">
        <f t="shared" si="9"/>
        <v>0.914126254586804</v>
      </c>
      <c r="K87" s="161"/>
      <c r="Q87">
        <f t="shared" si="5"/>
        <v>710178.09</v>
      </c>
      <c r="R87">
        <f t="shared" si="6"/>
        <v>700365.05</v>
      </c>
    </row>
    <row r="88" ht="30" spans="3:18">
      <c r="C88" s="147">
        <v>90447</v>
      </c>
      <c r="D88" s="148" t="s">
        <v>580</v>
      </c>
      <c r="E88" s="149" t="s">
        <v>120</v>
      </c>
      <c r="F88" s="149">
        <v>303.8</v>
      </c>
      <c r="G88" s="149">
        <v>4.66</v>
      </c>
      <c r="H88" s="149">
        <f t="shared" si="7"/>
        <v>1415.71</v>
      </c>
      <c r="I88" s="156">
        <f t="shared" si="8"/>
        <v>0.00202138870293428</v>
      </c>
      <c r="J88" s="156">
        <f t="shared" si="9"/>
        <v>0.916147643289739</v>
      </c>
      <c r="K88" s="161"/>
      <c r="Q88">
        <f t="shared" si="5"/>
        <v>710178.09</v>
      </c>
      <c r="R88">
        <f t="shared" si="6"/>
        <v>700365.05</v>
      </c>
    </row>
    <row r="89" ht="30" spans="3:18">
      <c r="C89" s="147" t="s">
        <v>412</v>
      </c>
      <c r="D89" s="148" t="s">
        <v>414</v>
      </c>
      <c r="E89" s="149" t="s">
        <v>120</v>
      </c>
      <c r="F89" s="149">
        <v>39.39</v>
      </c>
      <c r="G89" s="149">
        <v>35.76</v>
      </c>
      <c r="H89" s="149">
        <f t="shared" si="7"/>
        <v>1408.59</v>
      </c>
      <c r="I89" s="156">
        <f t="shared" si="8"/>
        <v>0.00201122257599805</v>
      </c>
      <c r="J89" s="156">
        <f t="shared" si="9"/>
        <v>0.918158865865737</v>
      </c>
      <c r="K89" s="161"/>
      <c r="Q89">
        <f t="shared" si="5"/>
        <v>710178.09</v>
      </c>
      <c r="R89">
        <f t="shared" si="6"/>
        <v>700365.05</v>
      </c>
    </row>
    <row r="90" spans="3:18">
      <c r="C90" s="147" t="s">
        <v>318</v>
      </c>
      <c r="D90" s="148" t="s">
        <v>320</v>
      </c>
      <c r="E90" s="149" t="s">
        <v>17</v>
      </c>
      <c r="F90" s="149">
        <v>2.94</v>
      </c>
      <c r="G90" s="149">
        <v>474.65</v>
      </c>
      <c r="H90" s="149">
        <f t="shared" si="7"/>
        <v>1395.47</v>
      </c>
      <c r="I90" s="156">
        <f t="shared" si="8"/>
        <v>0.0019924894881605</v>
      </c>
      <c r="J90" s="156">
        <f t="shared" si="9"/>
        <v>0.920151355353897</v>
      </c>
      <c r="K90" s="161"/>
      <c r="Q90">
        <f t="shared" si="5"/>
        <v>710178.09</v>
      </c>
      <c r="R90">
        <f t="shared" si="6"/>
        <v>700365.05</v>
      </c>
    </row>
    <row r="91" ht="45" spans="3:18">
      <c r="C91" s="147">
        <v>91834</v>
      </c>
      <c r="D91" s="148" t="s">
        <v>586</v>
      </c>
      <c r="E91" s="149" t="s">
        <v>120</v>
      </c>
      <c r="F91" s="149">
        <v>231.7</v>
      </c>
      <c r="G91" s="149">
        <v>5.84</v>
      </c>
      <c r="H91" s="149">
        <f t="shared" si="7"/>
        <v>1353.13</v>
      </c>
      <c r="I91" s="156">
        <f t="shared" si="8"/>
        <v>0.00193203530073353</v>
      </c>
      <c r="J91" s="156">
        <f t="shared" si="9"/>
        <v>0.922083390654631</v>
      </c>
      <c r="K91" s="161"/>
      <c r="Q91">
        <f t="shared" si="5"/>
        <v>710178.09</v>
      </c>
      <c r="R91">
        <f t="shared" si="6"/>
        <v>700365.05</v>
      </c>
    </row>
    <row r="92" spans="3:18">
      <c r="C92" s="147">
        <v>92916</v>
      </c>
      <c r="D92" s="148" t="s">
        <v>148</v>
      </c>
      <c r="E92" s="149" t="s">
        <v>95</v>
      </c>
      <c r="F92" s="149">
        <v>119.27</v>
      </c>
      <c r="G92" s="149">
        <v>11.11</v>
      </c>
      <c r="H92" s="149">
        <f t="shared" si="7"/>
        <v>1325.09</v>
      </c>
      <c r="I92" s="156">
        <f t="shared" si="8"/>
        <v>0.00189199903678803</v>
      </c>
      <c r="J92" s="156">
        <f t="shared" si="9"/>
        <v>0.923975389691419</v>
      </c>
      <c r="K92" s="161"/>
      <c r="Q92">
        <f t="shared" si="5"/>
        <v>710178.09</v>
      </c>
      <c r="R92">
        <f t="shared" si="6"/>
        <v>700365.05</v>
      </c>
    </row>
    <row r="93" ht="30" spans="3:18">
      <c r="C93" s="147">
        <v>83448</v>
      </c>
      <c r="D93" s="148" t="s">
        <v>607</v>
      </c>
      <c r="E93" s="149" t="s">
        <v>21</v>
      </c>
      <c r="F93" s="149">
        <v>6</v>
      </c>
      <c r="G93" s="149">
        <v>220.32</v>
      </c>
      <c r="H93" s="149">
        <f t="shared" si="7"/>
        <v>1321.92</v>
      </c>
      <c r="I93" s="156">
        <f t="shared" si="8"/>
        <v>0.0018874728257785</v>
      </c>
      <c r="J93" s="156">
        <f t="shared" si="9"/>
        <v>0.925862862517197</v>
      </c>
      <c r="K93" s="161"/>
      <c r="Q93">
        <f t="shared" si="5"/>
        <v>710178.09</v>
      </c>
      <c r="R93">
        <f t="shared" si="6"/>
        <v>700365.05</v>
      </c>
    </row>
    <row r="94" spans="3:18">
      <c r="C94" s="147">
        <v>7156</v>
      </c>
      <c r="D94" s="148" t="s">
        <v>723</v>
      </c>
      <c r="E94" s="149" t="s">
        <v>17</v>
      </c>
      <c r="F94" s="149">
        <f>45+11.5</f>
        <v>56.5</v>
      </c>
      <c r="G94" s="149">
        <v>23.06</v>
      </c>
      <c r="H94" s="149">
        <f t="shared" si="7"/>
        <v>1302.89</v>
      </c>
      <c r="I94" s="156">
        <f t="shared" si="8"/>
        <v>0.00186030128145315</v>
      </c>
      <c r="J94" s="156">
        <f t="shared" si="9"/>
        <v>0.92772316379865</v>
      </c>
      <c r="K94" s="161"/>
      <c r="Q94">
        <f t="shared" si="5"/>
        <v>710178.09</v>
      </c>
      <c r="R94">
        <f t="shared" si="6"/>
        <v>700365.05</v>
      </c>
    </row>
    <row r="95" ht="45" spans="3:18">
      <c r="C95" s="147" t="s">
        <v>534</v>
      </c>
      <c r="D95" s="148" t="s">
        <v>536</v>
      </c>
      <c r="E95" s="149" t="s">
        <v>21</v>
      </c>
      <c r="F95" s="149">
        <v>6</v>
      </c>
      <c r="G95" s="149">
        <v>216.09</v>
      </c>
      <c r="H95" s="149">
        <f t="shared" si="7"/>
        <v>1296.54</v>
      </c>
      <c r="I95" s="156">
        <f t="shared" si="8"/>
        <v>0.00185123458116592</v>
      </c>
      <c r="J95" s="156">
        <f t="shared" si="9"/>
        <v>0.929574398379816</v>
      </c>
      <c r="K95" s="161"/>
      <c r="Q95">
        <f t="shared" si="5"/>
        <v>710178.09</v>
      </c>
      <c r="R95">
        <f t="shared" si="6"/>
        <v>700365.05</v>
      </c>
    </row>
    <row r="96" ht="30" spans="3:18">
      <c r="C96" s="147" t="s">
        <v>183</v>
      </c>
      <c r="D96" s="148" t="s">
        <v>185</v>
      </c>
      <c r="E96" s="149" t="s">
        <v>17</v>
      </c>
      <c r="F96" s="149">
        <v>146.93</v>
      </c>
      <c r="G96" s="149">
        <v>8.67</v>
      </c>
      <c r="H96" s="149">
        <f t="shared" si="7"/>
        <v>1273.88</v>
      </c>
      <c r="I96" s="156">
        <f t="shared" si="8"/>
        <v>0.00181888002549528</v>
      </c>
      <c r="J96" s="156">
        <f t="shared" si="9"/>
        <v>0.931393278405311</v>
      </c>
      <c r="K96" s="161"/>
      <c r="Q96">
        <f t="shared" si="5"/>
        <v>710178.09</v>
      </c>
      <c r="R96">
        <f t="shared" si="6"/>
        <v>700365.05</v>
      </c>
    </row>
    <row r="97" spans="3:18">
      <c r="C97" s="147" t="s">
        <v>22</v>
      </c>
      <c r="D97" s="148" t="s">
        <v>24</v>
      </c>
      <c r="E97" s="149" t="s">
        <v>17</v>
      </c>
      <c r="F97" s="149">
        <v>315.25</v>
      </c>
      <c r="G97" s="149">
        <v>3.75</v>
      </c>
      <c r="H97" s="149">
        <f t="shared" si="7"/>
        <v>1182.19</v>
      </c>
      <c r="I97" s="156">
        <f t="shared" si="8"/>
        <v>0.00168796258465496</v>
      </c>
      <c r="J97" s="156">
        <f t="shared" si="9"/>
        <v>0.933081240989966</v>
      </c>
      <c r="K97" s="161"/>
      <c r="Q97">
        <f t="shared" si="5"/>
        <v>710178.09</v>
      </c>
      <c r="R97">
        <f t="shared" si="6"/>
        <v>700365.05</v>
      </c>
    </row>
    <row r="98" spans="3:18">
      <c r="C98" s="147">
        <v>41598</v>
      </c>
      <c r="D98" s="148" t="s">
        <v>48</v>
      </c>
      <c r="E98" s="149" t="s">
        <v>21</v>
      </c>
      <c r="F98" s="149">
        <v>1</v>
      </c>
      <c r="G98" s="149">
        <v>1180.03</v>
      </c>
      <c r="H98" s="149">
        <f t="shared" si="7"/>
        <v>1180.03</v>
      </c>
      <c r="I98" s="156">
        <f t="shared" si="8"/>
        <v>0.00168487847873049</v>
      </c>
      <c r="J98" s="156">
        <f t="shared" si="9"/>
        <v>0.934766119468697</v>
      </c>
      <c r="K98" s="161"/>
      <c r="Q98">
        <f t="shared" si="5"/>
        <v>710178.09</v>
      </c>
      <c r="R98">
        <f t="shared" si="6"/>
        <v>700365.05</v>
      </c>
    </row>
    <row r="99" ht="45" spans="3:18">
      <c r="C99" s="147">
        <v>92402</v>
      </c>
      <c r="D99" s="148" t="s">
        <v>712</v>
      </c>
      <c r="E99" s="149" t="s">
        <v>17</v>
      </c>
      <c r="F99" s="149">
        <v>21</v>
      </c>
      <c r="G99" s="149">
        <v>55.78</v>
      </c>
      <c r="H99" s="149">
        <f t="shared" si="7"/>
        <v>1171.38</v>
      </c>
      <c r="I99" s="156">
        <f t="shared" si="8"/>
        <v>0.00167252777676442</v>
      </c>
      <c r="J99" s="156">
        <f t="shared" si="9"/>
        <v>0.936438647245461</v>
      </c>
      <c r="K99" s="161"/>
      <c r="Q99">
        <f t="shared" si="5"/>
        <v>710178.09</v>
      </c>
      <c r="R99">
        <f t="shared" si="6"/>
        <v>700365.05</v>
      </c>
    </row>
    <row r="100" ht="60" spans="3:18">
      <c r="C100" s="147" t="s">
        <v>942</v>
      </c>
      <c r="D100" s="148" t="s">
        <v>657</v>
      </c>
      <c r="E100" s="149" t="s">
        <v>21</v>
      </c>
      <c r="F100" s="149">
        <v>1</v>
      </c>
      <c r="G100" s="149">
        <v>1143.88</v>
      </c>
      <c r="H100" s="149">
        <f t="shared" si="7"/>
        <v>1143.88</v>
      </c>
      <c r="I100" s="156">
        <f t="shared" si="8"/>
        <v>0.00163326253930004</v>
      </c>
      <c r="J100" s="156">
        <f t="shared" si="9"/>
        <v>0.938071909784761</v>
      </c>
      <c r="K100" s="161"/>
      <c r="Q100">
        <f t="shared" si="5"/>
        <v>710178.09</v>
      </c>
      <c r="R100">
        <f t="shared" si="6"/>
        <v>700365.05</v>
      </c>
    </row>
    <row r="101" spans="3:18">
      <c r="C101" s="147" t="s">
        <v>353</v>
      </c>
      <c r="D101" s="148" t="s">
        <v>355</v>
      </c>
      <c r="E101" s="149" t="s">
        <v>120</v>
      </c>
      <c r="F101" s="149">
        <v>220.06</v>
      </c>
      <c r="G101" s="149">
        <v>5.07</v>
      </c>
      <c r="H101" s="149">
        <f t="shared" si="7"/>
        <v>1115.7</v>
      </c>
      <c r="I101" s="156">
        <f t="shared" si="8"/>
        <v>0.00159302637960018</v>
      </c>
      <c r="J101" s="156">
        <f t="shared" si="9"/>
        <v>0.939664936164361</v>
      </c>
      <c r="K101" s="161"/>
      <c r="Q101">
        <f t="shared" si="5"/>
        <v>710178.09</v>
      </c>
      <c r="R101">
        <f t="shared" si="6"/>
        <v>700365.05</v>
      </c>
    </row>
    <row r="102" ht="30" spans="3:18">
      <c r="C102" s="147">
        <v>93009</v>
      </c>
      <c r="D102" s="148" t="s">
        <v>594</v>
      </c>
      <c r="E102" s="149" t="s">
        <v>120</v>
      </c>
      <c r="F102" s="149">
        <v>82.6</v>
      </c>
      <c r="G102" s="149">
        <v>13.01</v>
      </c>
      <c r="H102" s="149">
        <f t="shared" si="7"/>
        <v>1074.63</v>
      </c>
      <c r="I102" s="156">
        <f t="shared" si="8"/>
        <v>0.00153438553223066</v>
      </c>
      <c r="J102" s="156">
        <f t="shared" si="9"/>
        <v>0.941199321696592</v>
      </c>
      <c r="K102" s="161"/>
      <c r="Q102">
        <f t="shared" si="5"/>
        <v>710178.09</v>
      </c>
      <c r="R102">
        <f t="shared" si="6"/>
        <v>700365.05</v>
      </c>
    </row>
    <row r="103" spans="3:18">
      <c r="C103" s="147" t="s">
        <v>158</v>
      </c>
      <c r="D103" s="148" t="s">
        <v>160</v>
      </c>
      <c r="E103" s="149" t="s">
        <v>95</v>
      </c>
      <c r="F103" s="149">
        <v>83.91</v>
      </c>
      <c r="G103" s="149">
        <v>12.23</v>
      </c>
      <c r="H103" s="149">
        <f t="shared" si="7"/>
        <v>1026.22</v>
      </c>
      <c r="I103" s="156">
        <f t="shared" si="8"/>
        <v>0.00146526443602518</v>
      </c>
      <c r="J103" s="156">
        <f t="shared" si="9"/>
        <v>0.942664586132617</v>
      </c>
      <c r="K103" s="161"/>
      <c r="Q103">
        <f t="shared" si="5"/>
        <v>710178.09</v>
      </c>
      <c r="R103">
        <f t="shared" si="6"/>
        <v>700365.05</v>
      </c>
    </row>
    <row r="104" ht="135" spans="3:18">
      <c r="C104" s="147" t="s">
        <v>248</v>
      </c>
      <c r="D104" s="148" t="s">
        <v>250</v>
      </c>
      <c r="E104" s="149" t="s">
        <v>17</v>
      </c>
      <c r="F104" s="149">
        <v>12.45</v>
      </c>
      <c r="G104" s="149">
        <v>79.23</v>
      </c>
      <c r="H104" s="149">
        <f t="shared" si="7"/>
        <v>986.41</v>
      </c>
      <c r="I104" s="156">
        <f t="shared" si="8"/>
        <v>0.00140842265044494</v>
      </c>
      <c r="J104" s="156">
        <f t="shared" si="9"/>
        <v>0.944073008783062</v>
      </c>
      <c r="K104" s="161"/>
      <c r="Q104">
        <f t="shared" si="5"/>
        <v>710178.09</v>
      </c>
      <c r="R104">
        <f t="shared" si="6"/>
        <v>700365.05</v>
      </c>
    </row>
    <row r="105" spans="3:18">
      <c r="C105" s="147">
        <v>93214</v>
      </c>
      <c r="D105" s="148" t="s">
        <v>46</v>
      </c>
      <c r="E105" s="149" t="s">
        <v>21</v>
      </c>
      <c r="F105" s="149">
        <v>1</v>
      </c>
      <c r="G105" s="149">
        <v>965.65</v>
      </c>
      <c r="H105" s="149">
        <f t="shared" si="7"/>
        <v>965.65</v>
      </c>
      <c r="I105" s="156">
        <f t="shared" si="8"/>
        <v>0.00137878096572637</v>
      </c>
      <c r="J105" s="156">
        <f t="shared" si="9"/>
        <v>0.945451789748789</v>
      </c>
      <c r="K105" s="161"/>
      <c r="Q105">
        <f t="shared" si="5"/>
        <v>710178.09</v>
      </c>
      <c r="R105">
        <f t="shared" si="6"/>
        <v>700365.05</v>
      </c>
    </row>
    <row r="106" ht="30" spans="3:18">
      <c r="C106" s="147">
        <v>90443</v>
      </c>
      <c r="D106" s="148" t="s">
        <v>383</v>
      </c>
      <c r="E106" s="149" t="s">
        <v>120</v>
      </c>
      <c r="F106" s="149">
        <v>99.22</v>
      </c>
      <c r="G106" s="149">
        <v>9.58</v>
      </c>
      <c r="H106" s="149">
        <f t="shared" si="7"/>
        <v>950.53</v>
      </c>
      <c r="I106" s="156">
        <f t="shared" si="8"/>
        <v>0.00135719222425505</v>
      </c>
      <c r="J106" s="156">
        <f t="shared" si="9"/>
        <v>0.946808981973044</v>
      </c>
      <c r="K106" s="161"/>
      <c r="Q106">
        <f t="shared" si="5"/>
        <v>710178.09</v>
      </c>
      <c r="R106">
        <f t="shared" si="6"/>
        <v>700365.05</v>
      </c>
    </row>
    <row r="107" ht="30" spans="3:18">
      <c r="C107" s="147" t="s">
        <v>999</v>
      </c>
      <c r="D107" s="148" t="s">
        <v>706</v>
      </c>
      <c r="E107" s="149" t="s">
        <v>17</v>
      </c>
      <c r="F107" s="149">
        <v>4.63</v>
      </c>
      <c r="G107" s="149">
        <v>189.25</v>
      </c>
      <c r="H107" s="149">
        <f t="shared" si="7"/>
        <v>876.23</v>
      </c>
      <c r="I107" s="156">
        <f t="shared" si="8"/>
        <v>0.00125110469176039</v>
      </c>
      <c r="J107" s="156">
        <f t="shared" si="9"/>
        <v>0.948060086664804</v>
      </c>
      <c r="K107" s="161"/>
      <c r="Q107">
        <f t="shared" si="5"/>
        <v>710178.09</v>
      </c>
      <c r="R107">
        <f t="shared" si="6"/>
        <v>700365.05</v>
      </c>
    </row>
    <row r="108" ht="45" spans="3:18">
      <c r="C108" s="147" t="s">
        <v>940</v>
      </c>
      <c r="D108" s="148" t="s">
        <v>655</v>
      </c>
      <c r="E108" s="149" t="s">
        <v>21</v>
      </c>
      <c r="F108" s="149">
        <v>12</v>
      </c>
      <c r="G108" s="149">
        <v>72.36</v>
      </c>
      <c r="H108" s="149">
        <f t="shared" si="7"/>
        <v>868.32</v>
      </c>
      <c r="I108" s="156">
        <f t="shared" si="8"/>
        <v>0.00123981058163882</v>
      </c>
      <c r="J108" s="156">
        <f t="shared" si="9"/>
        <v>0.949299897246443</v>
      </c>
      <c r="K108" s="161"/>
      <c r="Q108">
        <f t="shared" si="5"/>
        <v>710178.09</v>
      </c>
      <c r="R108">
        <f t="shared" si="6"/>
        <v>700365.05</v>
      </c>
    </row>
    <row r="109" customHeight="1" spans="3:18">
      <c r="C109" s="147">
        <v>93582</v>
      </c>
      <c r="D109" s="148" t="s">
        <v>44</v>
      </c>
      <c r="E109" s="149" t="s">
        <v>17</v>
      </c>
      <c r="F109" s="149">
        <v>6</v>
      </c>
      <c r="G109" s="149">
        <v>138.04</v>
      </c>
      <c r="H109" s="149">
        <f t="shared" si="7"/>
        <v>828.24</v>
      </c>
      <c r="I109" s="156">
        <f t="shared" si="8"/>
        <v>0.00118258328281801</v>
      </c>
      <c r="J109" s="156">
        <f t="shared" si="9"/>
        <v>0.950482480529261</v>
      </c>
      <c r="K109" s="162"/>
      <c r="Q109">
        <f t="shared" si="5"/>
        <v>710178.09</v>
      </c>
      <c r="R109">
        <f t="shared" si="6"/>
        <v>700365.05</v>
      </c>
    </row>
    <row r="110" ht="120" spans="3:18">
      <c r="C110" s="147" t="s">
        <v>474</v>
      </c>
      <c r="D110" s="148" t="s">
        <v>476</v>
      </c>
      <c r="E110" s="149" t="s">
        <v>21</v>
      </c>
      <c r="F110" s="149">
        <v>1</v>
      </c>
      <c r="G110" s="149">
        <v>809.4</v>
      </c>
      <c r="H110" s="149">
        <f t="shared" si="7"/>
        <v>809.4</v>
      </c>
      <c r="I110" s="156">
        <f t="shared" si="8"/>
        <v>0.00115568302558787</v>
      </c>
      <c r="J110" s="156">
        <f t="shared" si="9"/>
        <v>0.951638163554849</v>
      </c>
      <c r="K110" s="163" t="s">
        <v>1442</v>
      </c>
      <c r="Q110">
        <f t="shared" si="5"/>
        <v>710178.09</v>
      </c>
      <c r="R110">
        <f t="shared" si="6"/>
        <v>700365.05</v>
      </c>
    </row>
    <row r="111" spans="3:18">
      <c r="C111" s="147" t="s">
        <v>421</v>
      </c>
      <c r="D111" s="148" t="s">
        <v>423</v>
      </c>
      <c r="E111" s="149" t="s">
        <v>21</v>
      </c>
      <c r="F111" s="149">
        <v>6</v>
      </c>
      <c r="G111" s="149">
        <v>130.35</v>
      </c>
      <c r="H111" s="149">
        <f t="shared" si="7"/>
        <v>782.1</v>
      </c>
      <c r="I111" s="156">
        <f t="shared" si="8"/>
        <v>0.00111670335348687</v>
      </c>
      <c r="J111" s="156">
        <f t="shared" si="9"/>
        <v>0.952754866908336</v>
      </c>
      <c r="K111" s="164"/>
      <c r="Q111">
        <f t="shared" si="5"/>
        <v>710178.09</v>
      </c>
      <c r="R111">
        <f t="shared" si="6"/>
        <v>700365.05</v>
      </c>
    </row>
    <row r="112" ht="45" spans="3:18">
      <c r="C112" s="147" t="s">
        <v>918</v>
      </c>
      <c r="D112" s="148" t="s">
        <v>547</v>
      </c>
      <c r="E112" s="149" t="s">
        <v>21</v>
      </c>
      <c r="F112" s="149">
        <v>2</v>
      </c>
      <c r="G112" s="149">
        <v>383.3</v>
      </c>
      <c r="H112" s="149">
        <f t="shared" si="7"/>
        <v>766.6</v>
      </c>
      <c r="I112" s="156">
        <f t="shared" si="8"/>
        <v>0.00109457203782513</v>
      </c>
      <c r="J112" s="156">
        <f t="shared" si="9"/>
        <v>0.953849438946161</v>
      </c>
      <c r="K112" s="164"/>
      <c r="Q112">
        <f t="shared" si="5"/>
        <v>710178.09</v>
      </c>
      <c r="R112">
        <f t="shared" si="6"/>
        <v>700365.05</v>
      </c>
    </row>
    <row r="113" ht="45" spans="3:18">
      <c r="C113" s="147" t="s">
        <v>717</v>
      </c>
      <c r="D113" s="148" t="s">
        <v>719</v>
      </c>
      <c r="E113" s="149" t="s">
        <v>17</v>
      </c>
      <c r="F113" s="149">
        <v>68.36</v>
      </c>
      <c r="G113" s="149">
        <v>11.19</v>
      </c>
      <c r="H113" s="149">
        <f t="shared" si="7"/>
        <v>764.95</v>
      </c>
      <c r="I113" s="156">
        <f t="shared" si="8"/>
        <v>0.00109221612357727</v>
      </c>
      <c r="J113" s="156">
        <f t="shared" si="9"/>
        <v>0.954941655069738</v>
      </c>
      <c r="K113" s="164"/>
      <c r="Q113">
        <f t="shared" si="5"/>
        <v>710178.09</v>
      </c>
      <c r="R113">
        <f t="shared" si="6"/>
        <v>700365.05</v>
      </c>
    </row>
    <row r="114" ht="60" spans="3:18">
      <c r="C114" s="147">
        <v>10851</v>
      </c>
      <c r="D114" s="148" t="s">
        <v>747</v>
      </c>
      <c r="E114" s="149" t="s">
        <v>21</v>
      </c>
      <c r="F114" s="149">
        <v>17</v>
      </c>
      <c r="G114" s="149">
        <v>43.99</v>
      </c>
      <c r="H114" s="149">
        <f t="shared" si="7"/>
        <v>747.83</v>
      </c>
      <c r="I114" s="156">
        <f t="shared" si="8"/>
        <v>0.00106777172847217</v>
      </c>
      <c r="J114" s="156">
        <f t="shared" si="9"/>
        <v>0.95600942679821</v>
      </c>
      <c r="K114" s="164"/>
      <c r="Q114">
        <f t="shared" si="5"/>
        <v>710178.09</v>
      </c>
      <c r="R114">
        <f t="shared" si="6"/>
        <v>700365.05</v>
      </c>
    </row>
    <row r="115" ht="75" spans="3:18">
      <c r="C115" s="147" t="s">
        <v>477</v>
      </c>
      <c r="D115" s="148" t="s">
        <v>479</v>
      </c>
      <c r="E115" s="149" t="s">
        <v>21</v>
      </c>
      <c r="F115" s="149">
        <v>1</v>
      </c>
      <c r="G115" s="149">
        <v>742.05</v>
      </c>
      <c r="H115" s="149">
        <f t="shared" si="7"/>
        <v>742.05</v>
      </c>
      <c r="I115" s="156">
        <f t="shared" si="8"/>
        <v>0.00105951888947057</v>
      </c>
      <c r="J115" s="156">
        <f t="shared" si="9"/>
        <v>0.957068945687681</v>
      </c>
      <c r="K115" s="164"/>
      <c r="Q115">
        <f t="shared" si="5"/>
        <v>710178.09</v>
      </c>
      <c r="R115">
        <f t="shared" si="6"/>
        <v>700365.05</v>
      </c>
    </row>
    <row r="116" spans="3:18">
      <c r="C116" s="147">
        <v>75220</v>
      </c>
      <c r="D116" s="148" t="s">
        <v>372</v>
      </c>
      <c r="E116" s="149" t="s">
        <v>120</v>
      </c>
      <c r="F116" s="149">
        <v>23.47</v>
      </c>
      <c r="G116" s="149">
        <v>31.37</v>
      </c>
      <c r="H116" s="149">
        <f t="shared" si="7"/>
        <v>736.25</v>
      </c>
      <c r="I116" s="156">
        <f t="shared" si="8"/>
        <v>0.00105123749393263</v>
      </c>
      <c r="J116" s="156">
        <f t="shared" si="9"/>
        <v>0.958120183181613</v>
      </c>
      <c r="K116" s="164"/>
      <c r="Q116">
        <f t="shared" si="5"/>
        <v>710178.09</v>
      </c>
      <c r="R116">
        <f t="shared" si="6"/>
        <v>700365.05</v>
      </c>
    </row>
    <row r="117" ht="30" spans="3:18">
      <c r="C117" s="147" t="s">
        <v>999</v>
      </c>
      <c r="D117" s="148" t="s">
        <v>704</v>
      </c>
      <c r="E117" s="149" t="s">
        <v>17</v>
      </c>
      <c r="F117" s="149">
        <v>3.81</v>
      </c>
      <c r="G117" s="149">
        <v>189.25</v>
      </c>
      <c r="H117" s="149">
        <f t="shared" si="7"/>
        <v>721.04</v>
      </c>
      <c r="I117" s="156">
        <f t="shared" si="8"/>
        <v>0.00102952024804779</v>
      </c>
      <c r="J117" s="156">
        <f t="shared" si="9"/>
        <v>0.959149703429661</v>
      </c>
      <c r="K117" s="164"/>
      <c r="Q117">
        <f t="shared" si="5"/>
        <v>710178.09</v>
      </c>
      <c r="R117">
        <f t="shared" si="6"/>
        <v>700365.05</v>
      </c>
    </row>
    <row r="118" spans="3:18">
      <c r="C118" s="147">
        <v>72215</v>
      </c>
      <c r="D118" s="148" t="s">
        <v>73</v>
      </c>
      <c r="E118" s="149" t="s">
        <v>56</v>
      </c>
      <c r="F118" s="149">
        <v>21.68</v>
      </c>
      <c r="G118" s="149">
        <v>33.02</v>
      </c>
      <c r="H118" s="149">
        <f t="shared" si="7"/>
        <v>715.87</v>
      </c>
      <c r="I118" s="156">
        <f t="shared" si="8"/>
        <v>0.00102213838340448</v>
      </c>
      <c r="J118" s="156">
        <f t="shared" si="9"/>
        <v>0.960171841813066</v>
      </c>
      <c r="K118" s="164"/>
      <c r="Q118">
        <f t="shared" si="5"/>
        <v>710178.09</v>
      </c>
      <c r="R118">
        <f t="shared" si="6"/>
        <v>700365.05</v>
      </c>
    </row>
    <row r="119" ht="45" spans="3:18">
      <c r="C119" s="147">
        <v>91924</v>
      </c>
      <c r="D119" s="148" t="s">
        <v>612</v>
      </c>
      <c r="E119" s="149" t="s">
        <v>120</v>
      </c>
      <c r="F119" s="149">
        <v>483.4</v>
      </c>
      <c r="G119" s="149">
        <v>1.48</v>
      </c>
      <c r="H119" s="149">
        <f t="shared" si="7"/>
        <v>715.43</v>
      </c>
      <c r="I119" s="156">
        <f t="shared" si="8"/>
        <v>0.00102151013960505</v>
      </c>
      <c r="J119" s="156">
        <f t="shared" si="9"/>
        <v>0.961193351952671</v>
      </c>
      <c r="K119" s="164"/>
      <c r="Q119">
        <f t="shared" si="5"/>
        <v>710178.09</v>
      </c>
      <c r="R119">
        <f t="shared" si="6"/>
        <v>700365.05</v>
      </c>
    </row>
    <row r="120" ht="30" spans="3:18">
      <c r="C120" s="147">
        <v>10848</v>
      </c>
      <c r="D120" s="148" t="s">
        <v>751</v>
      </c>
      <c r="E120" s="149" t="s">
        <v>21</v>
      </c>
      <c r="F120" s="149">
        <v>1</v>
      </c>
      <c r="G120" s="149">
        <v>678.38</v>
      </c>
      <c r="H120" s="149">
        <f t="shared" si="7"/>
        <v>678.38</v>
      </c>
      <c r="I120" s="156">
        <f t="shared" si="8"/>
        <v>0.000968609156039411</v>
      </c>
      <c r="J120" s="156">
        <f t="shared" si="9"/>
        <v>0.96216196110871</v>
      </c>
      <c r="K120" s="164"/>
      <c r="Q120">
        <f t="shared" si="5"/>
        <v>710178.09</v>
      </c>
      <c r="R120">
        <f t="shared" si="6"/>
        <v>700365.05</v>
      </c>
    </row>
    <row r="121" ht="30" spans="3:18">
      <c r="C121" s="147" t="s">
        <v>928</v>
      </c>
      <c r="D121" s="148" t="s">
        <v>598</v>
      </c>
      <c r="E121" s="149" t="s">
        <v>21</v>
      </c>
      <c r="F121" s="149">
        <v>82</v>
      </c>
      <c r="G121" s="149">
        <v>8.24</v>
      </c>
      <c r="H121" s="149">
        <f t="shared" si="7"/>
        <v>675.68</v>
      </c>
      <c r="I121" s="156">
        <f t="shared" si="8"/>
        <v>0.000964754023633818</v>
      </c>
      <c r="J121" s="156">
        <f t="shared" si="9"/>
        <v>0.963126715132344</v>
      </c>
      <c r="K121" s="164"/>
      <c r="Q121">
        <f t="shared" si="5"/>
        <v>710178.09</v>
      </c>
      <c r="R121">
        <f t="shared" si="6"/>
        <v>700365.05</v>
      </c>
    </row>
    <row r="122" ht="30" spans="3:18">
      <c r="C122" s="147" t="s">
        <v>374</v>
      </c>
      <c r="D122" s="148" t="s">
        <v>376</v>
      </c>
      <c r="E122" s="149" t="s">
        <v>120</v>
      </c>
      <c r="F122" s="149">
        <v>44.61</v>
      </c>
      <c r="G122" s="149">
        <v>14.93</v>
      </c>
      <c r="H122" s="149">
        <f t="shared" si="7"/>
        <v>666.03</v>
      </c>
      <c r="I122" s="156">
        <f t="shared" si="8"/>
        <v>0.000950975494850864</v>
      </c>
      <c r="J122" s="156">
        <f t="shared" si="9"/>
        <v>0.964077690627195</v>
      </c>
      <c r="K122" s="164"/>
      <c r="Q122">
        <f t="shared" si="5"/>
        <v>710178.09</v>
      </c>
      <c r="R122">
        <f t="shared" si="6"/>
        <v>700365.05</v>
      </c>
    </row>
    <row r="123" ht="30" spans="3:18">
      <c r="C123" s="147">
        <v>88503</v>
      </c>
      <c r="D123" s="148" t="s">
        <v>381</v>
      </c>
      <c r="E123" s="149" t="s">
        <v>21</v>
      </c>
      <c r="F123" s="149">
        <v>1</v>
      </c>
      <c r="G123" s="149">
        <v>640.45</v>
      </c>
      <c r="H123" s="149">
        <f t="shared" si="7"/>
        <v>640.45</v>
      </c>
      <c r="I123" s="156">
        <f t="shared" si="8"/>
        <v>0.000914451684874909</v>
      </c>
      <c r="J123" s="156">
        <f t="shared" si="9"/>
        <v>0.96499214231207</v>
      </c>
      <c r="K123" s="164"/>
      <c r="Q123">
        <f t="shared" si="5"/>
        <v>710178.09</v>
      </c>
      <c r="R123">
        <f t="shared" si="6"/>
        <v>700365.05</v>
      </c>
    </row>
    <row r="124" ht="30" spans="3:18">
      <c r="C124" s="147" t="s">
        <v>377</v>
      </c>
      <c r="D124" s="148" t="s">
        <v>379</v>
      </c>
      <c r="E124" s="149" t="s">
        <v>120</v>
      </c>
      <c r="F124" s="149">
        <v>32.06</v>
      </c>
      <c r="G124" s="149">
        <v>19.81</v>
      </c>
      <c r="H124" s="149">
        <f t="shared" si="7"/>
        <v>635.11</v>
      </c>
      <c r="I124" s="156">
        <f t="shared" si="8"/>
        <v>0.000906827089672736</v>
      </c>
      <c r="J124" s="156">
        <f t="shared" si="9"/>
        <v>0.965898969401742</v>
      </c>
      <c r="K124" s="164"/>
      <c r="Q124">
        <f t="shared" si="5"/>
        <v>710178.09</v>
      </c>
      <c r="R124">
        <f t="shared" si="6"/>
        <v>700365.05</v>
      </c>
    </row>
    <row r="125" ht="30" spans="3:18">
      <c r="C125" s="147">
        <v>93187</v>
      </c>
      <c r="D125" s="148" t="s">
        <v>340</v>
      </c>
      <c r="E125" s="149" t="s">
        <v>120</v>
      </c>
      <c r="F125" s="149">
        <v>14</v>
      </c>
      <c r="G125" s="149">
        <v>43.93</v>
      </c>
      <c r="H125" s="149">
        <f t="shared" si="7"/>
        <v>615.02</v>
      </c>
      <c r="I125" s="156">
        <f t="shared" si="8"/>
        <v>0.000878142048921487</v>
      </c>
      <c r="J125" s="156">
        <f t="shared" si="9"/>
        <v>0.966777111450664</v>
      </c>
      <c r="K125" s="164"/>
      <c r="Q125">
        <f t="shared" si="5"/>
        <v>710178.09</v>
      </c>
      <c r="R125">
        <f t="shared" si="6"/>
        <v>700365.05</v>
      </c>
    </row>
    <row r="126" ht="45" spans="3:18">
      <c r="C126" s="147">
        <v>92008</v>
      </c>
      <c r="D126" s="148" t="s">
        <v>577</v>
      </c>
      <c r="E126" s="149" t="s">
        <v>21</v>
      </c>
      <c r="F126" s="149">
        <v>22</v>
      </c>
      <c r="G126" s="149">
        <v>27.8</v>
      </c>
      <c r="H126" s="149">
        <f t="shared" si="7"/>
        <v>611.6</v>
      </c>
      <c r="I126" s="156">
        <f t="shared" si="8"/>
        <v>0.000873258881207736</v>
      </c>
      <c r="J126" s="156">
        <f t="shared" si="9"/>
        <v>0.967650370331872</v>
      </c>
      <c r="K126" s="164"/>
      <c r="Q126">
        <f t="shared" si="5"/>
        <v>710178.09</v>
      </c>
      <c r="R126">
        <f t="shared" si="6"/>
        <v>700365.05</v>
      </c>
    </row>
    <row r="127" ht="45" spans="3:18">
      <c r="C127" s="147">
        <v>91315</v>
      </c>
      <c r="D127" s="148" t="s">
        <v>308</v>
      </c>
      <c r="E127" s="149" t="s">
        <v>21</v>
      </c>
      <c r="F127" s="149">
        <v>1</v>
      </c>
      <c r="G127" s="149">
        <v>608.18</v>
      </c>
      <c r="H127" s="149">
        <f t="shared" si="7"/>
        <v>608.18</v>
      </c>
      <c r="I127" s="156">
        <f t="shared" si="8"/>
        <v>0.000868375713493984</v>
      </c>
      <c r="J127" s="156">
        <f t="shared" si="9"/>
        <v>0.968518746045366</v>
      </c>
      <c r="K127" s="164"/>
      <c r="Q127">
        <f t="shared" si="5"/>
        <v>710178.09</v>
      </c>
      <c r="R127">
        <f t="shared" si="6"/>
        <v>700365.05</v>
      </c>
    </row>
    <row r="128" ht="45" spans="3:18">
      <c r="C128" s="147" t="s">
        <v>117</v>
      </c>
      <c r="D128" s="148" t="s">
        <v>119</v>
      </c>
      <c r="E128" s="149" t="s">
        <v>120</v>
      </c>
      <c r="F128" s="149">
        <v>87.2</v>
      </c>
      <c r="G128" s="149">
        <v>6.92</v>
      </c>
      <c r="H128" s="149">
        <f t="shared" si="7"/>
        <v>603.42</v>
      </c>
      <c r="I128" s="156">
        <f t="shared" si="8"/>
        <v>0.000861579257845605</v>
      </c>
      <c r="J128" s="156">
        <f t="shared" si="9"/>
        <v>0.969380325303211</v>
      </c>
      <c r="K128" s="164"/>
      <c r="Q128">
        <f t="shared" si="5"/>
        <v>710178.09</v>
      </c>
      <c r="R128">
        <f t="shared" si="6"/>
        <v>700365.05</v>
      </c>
    </row>
    <row r="129" ht="30" spans="3:18">
      <c r="C129" s="147" t="s">
        <v>927</v>
      </c>
      <c r="D129" s="148" t="s">
        <v>551</v>
      </c>
      <c r="E129" s="149" t="s">
        <v>21</v>
      </c>
      <c r="F129" s="149">
        <v>5</v>
      </c>
      <c r="G129" s="149">
        <v>114.73</v>
      </c>
      <c r="H129" s="149">
        <f t="shared" si="7"/>
        <v>573.65</v>
      </c>
      <c r="I129" s="156">
        <f t="shared" si="8"/>
        <v>0.000819072853506896</v>
      </c>
      <c r="J129" s="156">
        <f t="shared" si="9"/>
        <v>0.970199398156718</v>
      </c>
      <c r="K129" s="164"/>
      <c r="Q129">
        <f t="shared" si="5"/>
        <v>710178.09</v>
      </c>
      <c r="R129">
        <f t="shared" si="6"/>
        <v>700365.05</v>
      </c>
    </row>
    <row r="130" ht="30" spans="3:18">
      <c r="C130" s="147">
        <v>93197</v>
      </c>
      <c r="D130" s="148" t="s">
        <v>344</v>
      </c>
      <c r="E130" s="149" t="s">
        <v>120</v>
      </c>
      <c r="F130" s="149">
        <v>14</v>
      </c>
      <c r="G130" s="149">
        <v>40.4</v>
      </c>
      <c r="H130" s="149">
        <f t="shared" si="7"/>
        <v>565.6</v>
      </c>
      <c r="I130" s="156">
        <f t="shared" si="8"/>
        <v>0.000807578847630961</v>
      </c>
      <c r="J130" s="156">
        <f t="shared" si="9"/>
        <v>0.971006977004349</v>
      </c>
      <c r="K130" s="164"/>
      <c r="Q130">
        <f t="shared" si="5"/>
        <v>710178.09</v>
      </c>
      <c r="R130">
        <f t="shared" si="6"/>
        <v>700365.05</v>
      </c>
    </row>
    <row r="131" ht="30" spans="3:18">
      <c r="C131" s="147">
        <v>37539</v>
      </c>
      <c r="D131" s="148" t="s">
        <v>524</v>
      </c>
      <c r="E131" s="149" t="s">
        <v>21</v>
      </c>
      <c r="F131" s="149">
        <v>28</v>
      </c>
      <c r="G131" s="149">
        <v>20</v>
      </c>
      <c r="H131" s="149">
        <f t="shared" si="7"/>
        <v>560</v>
      </c>
      <c r="I131" s="156">
        <f t="shared" si="8"/>
        <v>0.000799583017456397</v>
      </c>
      <c r="J131" s="156">
        <f t="shared" si="9"/>
        <v>0.971806560021805</v>
      </c>
      <c r="K131" s="164"/>
      <c r="Q131">
        <f t="shared" si="5"/>
        <v>710178.09</v>
      </c>
      <c r="R131">
        <f t="shared" si="6"/>
        <v>700365.05</v>
      </c>
    </row>
    <row r="132" ht="75" spans="3:18">
      <c r="C132" s="147" t="s">
        <v>633</v>
      </c>
      <c r="D132" s="148" t="s">
        <v>635</v>
      </c>
      <c r="E132" s="149" t="s">
        <v>21</v>
      </c>
      <c r="F132" s="149">
        <v>2</v>
      </c>
      <c r="G132" s="149">
        <v>279.96</v>
      </c>
      <c r="H132" s="149">
        <f t="shared" si="7"/>
        <v>559.92</v>
      </c>
      <c r="I132" s="156">
        <f t="shared" si="8"/>
        <v>0.000799468791311046</v>
      </c>
      <c r="J132" s="156">
        <f t="shared" si="9"/>
        <v>0.972606028813117</v>
      </c>
      <c r="K132" s="164"/>
      <c r="Q132">
        <f t="shared" si="5"/>
        <v>710178.09</v>
      </c>
      <c r="R132">
        <f t="shared" si="6"/>
        <v>700365.05</v>
      </c>
    </row>
    <row r="133" ht="45" spans="3:18">
      <c r="C133" s="147">
        <v>91867</v>
      </c>
      <c r="D133" s="148" t="s">
        <v>588</v>
      </c>
      <c r="E133" s="149" t="s">
        <v>120</v>
      </c>
      <c r="F133" s="149">
        <v>98.65</v>
      </c>
      <c r="G133" s="149">
        <v>5.65</v>
      </c>
      <c r="H133" s="149">
        <f t="shared" si="7"/>
        <v>557.37</v>
      </c>
      <c r="I133" s="156">
        <f t="shared" si="8"/>
        <v>0.000795827832927985</v>
      </c>
      <c r="J133" s="156">
        <f t="shared" si="9"/>
        <v>0.973401856646045</v>
      </c>
      <c r="K133" s="164"/>
      <c r="Q133">
        <f t="shared" si="5"/>
        <v>710178.09</v>
      </c>
      <c r="R133">
        <f t="shared" si="6"/>
        <v>700365.05</v>
      </c>
    </row>
    <row r="134" ht="60" spans="3:18">
      <c r="C134" s="147" t="s">
        <v>14</v>
      </c>
      <c r="D134" s="148" t="s">
        <v>16</v>
      </c>
      <c r="E134" s="149" t="s">
        <v>17</v>
      </c>
      <c r="F134" s="149">
        <v>525</v>
      </c>
      <c r="G134" s="149">
        <v>1.05</v>
      </c>
      <c r="H134" s="149">
        <f t="shared" si="7"/>
        <v>551.25</v>
      </c>
      <c r="I134" s="156">
        <f t="shared" si="8"/>
        <v>0.00078708953280864</v>
      </c>
      <c r="J134" s="156">
        <f t="shared" si="9"/>
        <v>0.974188946178853</v>
      </c>
      <c r="K134" s="164"/>
      <c r="Q134">
        <f t="shared" si="5"/>
        <v>710178.09</v>
      </c>
      <c r="R134">
        <f t="shared" si="6"/>
        <v>700365.05</v>
      </c>
    </row>
    <row r="135" ht="45" spans="3:18">
      <c r="C135" s="147">
        <v>86889</v>
      </c>
      <c r="D135" s="148" t="s">
        <v>487</v>
      </c>
      <c r="E135" s="149" t="s">
        <v>21</v>
      </c>
      <c r="F135" s="149">
        <v>1</v>
      </c>
      <c r="G135" s="149">
        <v>535.94</v>
      </c>
      <c r="H135" s="149">
        <f t="shared" si="7"/>
        <v>535.94</v>
      </c>
      <c r="I135" s="156">
        <f t="shared" si="8"/>
        <v>0.000765229504242109</v>
      </c>
      <c r="J135" s="156">
        <f t="shared" si="9"/>
        <v>0.974954175683095</v>
      </c>
      <c r="K135" s="164"/>
      <c r="Q135">
        <f t="shared" si="5"/>
        <v>710178.09</v>
      </c>
      <c r="R135">
        <f t="shared" si="6"/>
        <v>700365.05</v>
      </c>
    </row>
    <row r="136" ht="30" spans="3:18">
      <c r="C136" s="147" t="s">
        <v>321</v>
      </c>
      <c r="D136" s="148" t="s">
        <v>323</v>
      </c>
      <c r="E136" s="149" t="s">
        <v>120</v>
      </c>
      <c r="F136" s="149">
        <v>13.5</v>
      </c>
      <c r="G136" s="149">
        <v>36.4</v>
      </c>
      <c r="H136" s="149">
        <f t="shared" si="7"/>
        <v>491.4</v>
      </c>
      <c r="I136" s="156">
        <f t="shared" si="8"/>
        <v>0.000701634097817988</v>
      </c>
      <c r="J136" s="156">
        <f t="shared" si="9"/>
        <v>0.975655809780913</v>
      </c>
      <c r="K136" s="164"/>
      <c r="Q136">
        <f t="shared" ref="Q136:Q199" si="10">$Q$7</f>
        <v>710178.09</v>
      </c>
      <c r="R136">
        <f t="shared" ref="R136:R199" si="11">$R$7</f>
        <v>700365.05</v>
      </c>
    </row>
    <row r="137" ht="30" spans="3:18">
      <c r="C137" s="147" t="s">
        <v>50</v>
      </c>
      <c r="D137" s="148" t="s">
        <v>52</v>
      </c>
      <c r="E137" s="149" t="s">
        <v>17</v>
      </c>
      <c r="F137" s="149">
        <v>92.43</v>
      </c>
      <c r="G137" s="149">
        <v>5.17</v>
      </c>
      <c r="H137" s="149">
        <f t="shared" ref="H137:H200" si="12">ROUND(F137*G137,2)</f>
        <v>477.86</v>
      </c>
      <c r="I137" s="156">
        <f t="shared" si="8"/>
        <v>0.000682301322717346</v>
      </c>
      <c r="J137" s="156">
        <f t="shared" si="9"/>
        <v>0.97633811110363</v>
      </c>
      <c r="K137" s="164"/>
      <c r="Q137">
        <f t="shared" si="10"/>
        <v>710178.09</v>
      </c>
      <c r="R137">
        <f t="shared" si="11"/>
        <v>700365.05</v>
      </c>
    </row>
    <row r="138" ht="45" spans="3:18">
      <c r="C138" s="147" t="s">
        <v>974</v>
      </c>
      <c r="D138" s="148" t="s">
        <v>673</v>
      </c>
      <c r="E138" s="149" t="s">
        <v>674</v>
      </c>
      <c r="F138" s="149">
        <v>42.4</v>
      </c>
      <c r="G138" s="149">
        <v>10.89</v>
      </c>
      <c r="H138" s="149">
        <f t="shared" si="12"/>
        <v>461.74</v>
      </c>
      <c r="I138" s="156">
        <f t="shared" ref="I138:I201" si="13">H138/$R$7</f>
        <v>0.000659284754429137</v>
      </c>
      <c r="J138" s="156">
        <f t="shared" si="9"/>
        <v>0.97699739585806</v>
      </c>
      <c r="K138" s="164"/>
      <c r="Q138">
        <f t="shared" si="10"/>
        <v>710178.09</v>
      </c>
      <c r="R138">
        <f t="shared" si="11"/>
        <v>700365.05</v>
      </c>
    </row>
    <row r="139" spans="3:18">
      <c r="C139" s="147">
        <v>9537</v>
      </c>
      <c r="D139" s="148" t="s">
        <v>745</v>
      </c>
      <c r="E139" s="149" t="s">
        <v>17</v>
      </c>
      <c r="F139" s="149">
        <v>227.5</v>
      </c>
      <c r="G139" s="149">
        <v>2.02</v>
      </c>
      <c r="H139" s="149">
        <f t="shared" si="12"/>
        <v>459.55</v>
      </c>
      <c r="I139" s="156">
        <f t="shared" si="13"/>
        <v>0.000656157813700155</v>
      </c>
      <c r="J139" s="156">
        <f t="shared" ref="J139:J202" si="14">I139+J138</f>
        <v>0.97765355367176</v>
      </c>
      <c r="K139" s="164"/>
      <c r="Q139">
        <f t="shared" si="10"/>
        <v>710178.09</v>
      </c>
      <c r="R139">
        <f t="shared" si="11"/>
        <v>700365.05</v>
      </c>
    </row>
    <row r="140" ht="30" spans="3:18">
      <c r="C140" s="147" t="s">
        <v>409</v>
      </c>
      <c r="D140" s="148" t="s">
        <v>411</v>
      </c>
      <c r="E140" s="149" t="s">
        <v>120</v>
      </c>
      <c r="F140" s="149">
        <f>2*8.11</f>
        <v>16.22</v>
      </c>
      <c r="G140" s="149">
        <v>27.54</v>
      </c>
      <c r="H140" s="149">
        <f t="shared" si="12"/>
        <v>446.7</v>
      </c>
      <c r="I140" s="156">
        <f t="shared" si="13"/>
        <v>0.000637810239103165</v>
      </c>
      <c r="J140" s="156">
        <f t="shared" si="14"/>
        <v>0.978291363910863</v>
      </c>
      <c r="K140" s="164"/>
      <c r="Q140">
        <f t="shared" si="10"/>
        <v>710178.09</v>
      </c>
      <c r="R140">
        <f t="shared" si="11"/>
        <v>700365.05</v>
      </c>
    </row>
    <row r="141" spans="3:18">
      <c r="C141" s="147" t="s">
        <v>221</v>
      </c>
      <c r="D141" s="148" t="s">
        <v>157</v>
      </c>
      <c r="E141" s="149" t="s">
        <v>95</v>
      </c>
      <c r="F141" s="149">
        <v>79.64</v>
      </c>
      <c r="G141" s="149">
        <v>5.55</v>
      </c>
      <c r="H141" s="149">
        <f t="shared" si="12"/>
        <v>442</v>
      </c>
      <c r="I141" s="156">
        <f t="shared" si="13"/>
        <v>0.000631099453063799</v>
      </c>
      <c r="J141" s="156">
        <f t="shared" si="14"/>
        <v>0.978922463363927</v>
      </c>
      <c r="K141" s="164"/>
      <c r="Q141">
        <f t="shared" si="10"/>
        <v>710178.09</v>
      </c>
      <c r="R141">
        <f t="shared" si="11"/>
        <v>700365.05</v>
      </c>
    </row>
    <row r="142" ht="75" spans="3:18">
      <c r="C142" s="147" t="s">
        <v>630</v>
      </c>
      <c r="D142" s="148" t="s">
        <v>632</v>
      </c>
      <c r="E142" s="149" t="s">
        <v>21</v>
      </c>
      <c r="F142" s="149">
        <v>1</v>
      </c>
      <c r="G142" s="149">
        <v>438.55</v>
      </c>
      <c r="H142" s="149">
        <f t="shared" si="12"/>
        <v>438.55</v>
      </c>
      <c r="I142" s="156">
        <f t="shared" si="13"/>
        <v>0.000626173450545541</v>
      </c>
      <c r="J142" s="156">
        <f t="shared" si="14"/>
        <v>0.979548636814472</v>
      </c>
      <c r="K142" s="164"/>
      <c r="Q142">
        <f t="shared" si="10"/>
        <v>710178.09</v>
      </c>
      <c r="R142">
        <f t="shared" si="11"/>
        <v>700365.05</v>
      </c>
    </row>
    <row r="143" ht="30" spans="3:18">
      <c r="C143" s="147">
        <v>93186</v>
      </c>
      <c r="D143" s="148" t="s">
        <v>338</v>
      </c>
      <c r="E143" s="149" t="s">
        <v>120</v>
      </c>
      <c r="F143" s="149">
        <v>11</v>
      </c>
      <c r="G143" s="149">
        <v>38</v>
      </c>
      <c r="H143" s="149">
        <f t="shared" si="12"/>
        <v>418</v>
      </c>
      <c r="I143" s="156">
        <f t="shared" si="13"/>
        <v>0.000596831609458525</v>
      </c>
      <c r="J143" s="156">
        <f t="shared" si="14"/>
        <v>0.980145468423931</v>
      </c>
      <c r="K143" s="164"/>
      <c r="Q143">
        <f t="shared" si="10"/>
        <v>710178.09</v>
      </c>
      <c r="R143">
        <f t="shared" si="11"/>
        <v>700365.05</v>
      </c>
    </row>
    <row r="144" ht="30" spans="3:18">
      <c r="C144" s="147">
        <v>93196</v>
      </c>
      <c r="D144" s="148" t="s">
        <v>342</v>
      </c>
      <c r="E144" s="149" t="s">
        <v>120</v>
      </c>
      <c r="F144" s="149">
        <v>11</v>
      </c>
      <c r="G144" s="149">
        <v>36.4</v>
      </c>
      <c r="H144" s="149">
        <f t="shared" si="12"/>
        <v>400.4</v>
      </c>
      <c r="I144" s="156">
        <f t="shared" si="13"/>
        <v>0.000571701857481324</v>
      </c>
      <c r="J144" s="156">
        <f t="shared" si="14"/>
        <v>0.980717170281412</v>
      </c>
      <c r="K144" s="164"/>
      <c r="Q144">
        <f t="shared" si="10"/>
        <v>710178.09</v>
      </c>
      <c r="R144">
        <f t="shared" si="11"/>
        <v>700365.05</v>
      </c>
    </row>
    <row r="145" ht="45" spans="3:18">
      <c r="C145" s="147">
        <v>91941</v>
      </c>
      <c r="D145" s="148" t="s">
        <v>605</v>
      </c>
      <c r="E145" s="149" t="s">
        <v>21</v>
      </c>
      <c r="F145" s="149">
        <v>59</v>
      </c>
      <c r="G145" s="149">
        <v>6.71</v>
      </c>
      <c r="H145" s="149">
        <f t="shared" si="12"/>
        <v>395.89</v>
      </c>
      <c r="I145" s="156">
        <f t="shared" si="13"/>
        <v>0.000565262358537166</v>
      </c>
      <c r="J145" s="156">
        <f t="shared" si="14"/>
        <v>0.981282432639949</v>
      </c>
      <c r="K145" s="164"/>
      <c r="Q145">
        <f t="shared" si="10"/>
        <v>710178.09</v>
      </c>
      <c r="R145">
        <f t="shared" si="11"/>
        <v>700365.05</v>
      </c>
    </row>
    <row r="146" spans="3:18">
      <c r="C146" s="147" t="s">
        <v>469</v>
      </c>
      <c r="D146" s="148" t="s">
        <v>471</v>
      </c>
      <c r="E146" s="149" t="s">
        <v>21</v>
      </c>
      <c r="F146" s="149">
        <v>1</v>
      </c>
      <c r="G146" s="149">
        <v>377.85</v>
      </c>
      <c r="H146" s="149">
        <f t="shared" si="12"/>
        <v>377.85</v>
      </c>
      <c r="I146" s="156">
        <f t="shared" si="13"/>
        <v>0.000539504362760535</v>
      </c>
      <c r="J146" s="156">
        <f t="shared" si="14"/>
        <v>0.98182193700271</v>
      </c>
      <c r="K146" s="164"/>
      <c r="Q146">
        <f t="shared" si="10"/>
        <v>710178.09</v>
      </c>
      <c r="R146">
        <f t="shared" si="11"/>
        <v>700365.05</v>
      </c>
    </row>
    <row r="147" ht="30" spans="3:18">
      <c r="C147" s="147">
        <v>9853</v>
      </c>
      <c r="D147" s="148" t="s">
        <v>498</v>
      </c>
      <c r="E147" s="149" t="s">
        <v>120</v>
      </c>
      <c r="F147" s="149">
        <v>2.36</v>
      </c>
      <c r="G147" s="149">
        <v>160.04</v>
      </c>
      <c r="H147" s="149">
        <f t="shared" si="12"/>
        <v>377.69</v>
      </c>
      <c r="I147" s="156">
        <f t="shared" si="13"/>
        <v>0.000539275910469833</v>
      </c>
      <c r="J147" s="156">
        <f t="shared" si="14"/>
        <v>0.98236121291318</v>
      </c>
      <c r="K147" s="164"/>
      <c r="Q147">
        <f t="shared" si="10"/>
        <v>710178.09</v>
      </c>
      <c r="R147">
        <f t="shared" si="11"/>
        <v>700365.05</v>
      </c>
    </row>
    <row r="148" spans="3:18">
      <c r="C148" s="147">
        <v>93200</v>
      </c>
      <c r="D148" s="148" t="s">
        <v>285</v>
      </c>
      <c r="E148" s="149" t="s">
        <v>120</v>
      </c>
      <c r="F148" s="149">
        <v>175.415</v>
      </c>
      <c r="G148" s="149">
        <v>2.13</v>
      </c>
      <c r="H148" s="149">
        <f t="shared" si="12"/>
        <v>373.63</v>
      </c>
      <c r="I148" s="156">
        <f t="shared" si="13"/>
        <v>0.000533478933593274</v>
      </c>
      <c r="J148" s="156">
        <f t="shared" si="14"/>
        <v>0.982894691846773</v>
      </c>
      <c r="K148" s="164"/>
      <c r="Q148">
        <f t="shared" si="10"/>
        <v>710178.09</v>
      </c>
      <c r="R148">
        <f t="shared" si="11"/>
        <v>700365.05</v>
      </c>
    </row>
    <row r="149" ht="30" spans="3:18">
      <c r="C149" s="147" t="s">
        <v>537</v>
      </c>
      <c r="D149" s="148" t="s">
        <v>539</v>
      </c>
      <c r="E149" s="149" t="s">
        <v>21</v>
      </c>
      <c r="F149" s="149">
        <v>10</v>
      </c>
      <c r="G149" s="149">
        <v>34.67</v>
      </c>
      <c r="H149" s="149">
        <f t="shared" si="12"/>
        <v>346.7</v>
      </c>
      <c r="I149" s="156">
        <f t="shared" si="13"/>
        <v>0.000495027557414523</v>
      </c>
      <c r="J149" s="156">
        <f t="shared" si="14"/>
        <v>0.983389719404187</v>
      </c>
      <c r="K149" s="164"/>
      <c r="Q149">
        <f t="shared" si="10"/>
        <v>710178.09</v>
      </c>
      <c r="R149">
        <f t="shared" si="11"/>
        <v>700365.05</v>
      </c>
    </row>
    <row r="150" spans="3:18">
      <c r="C150" s="147" t="s">
        <v>155</v>
      </c>
      <c r="D150" s="148" t="s">
        <v>157</v>
      </c>
      <c r="E150" s="149" t="s">
        <v>95</v>
      </c>
      <c r="F150" s="149">
        <v>49.27</v>
      </c>
      <c r="G150" s="149">
        <v>7.02</v>
      </c>
      <c r="H150" s="149">
        <f t="shared" si="12"/>
        <v>345.88</v>
      </c>
      <c r="I150" s="156">
        <f t="shared" si="13"/>
        <v>0.000493856739424676</v>
      </c>
      <c r="J150" s="156">
        <f t="shared" si="14"/>
        <v>0.983883576143612</v>
      </c>
      <c r="K150" s="164"/>
      <c r="Q150">
        <f t="shared" si="10"/>
        <v>710178.09</v>
      </c>
      <c r="R150">
        <f t="shared" si="11"/>
        <v>700365.05</v>
      </c>
    </row>
    <row r="151" ht="60" spans="3:18">
      <c r="C151" s="147">
        <v>95745</v>
      </c>
      <c r="D151" s="148" t="s">
        <v>694</v>
      </c>
      <c r="E151" s="149" t="s">
        <v>120</v>
      </c>
      <c r="F151" s="149">
        <v>24</v>
      </c>
      <c r="G151" s="149">
        <v>14.39</v>
      </c>
      <c r="H151" s="149">
        <f t="shared" si="12"/>
        <v>345.36</v>
      </c>
      <c r="I151" s="156">
        <f t="shared" si="13"/>
        <v>0.000493114269479895</v>
      </c>
      <c r="J151" s="156">
        <f t="shared" si="14"/>
        <v>0.984376690413092</v>
      </c>
      <c r="K151" s="164"/>
      <c r="Q151">
        <f t="shared" si="10"/>
        <v>710178.09</v>
      </c>
      <c r="R151">
        <f t="shared" si="11"/>
        <v>700365.05</v>
      </c>
    </row>
    <row r="152" ht="30" spans="3:18">
      <c r="C152" s="147">
        <v>72254</v>
      </c>
      <c r="D152" s="148" t="s">
        <v>626</v>
      </c>
      <c r="E152" s="149" t="s">
        <v>120</v>
      </c>
      <c r="F152" s="149">
        <v>11.7</v>
      </c>
      <c r="G152" s="149">
        <v>29.24</v>
      </c>
      <c r="H152" s="149">
        <f t="shared" si="12"/>
        <v>342.11</v>
      </c>
      <c r="I152" s="156">
        <f t="shared" si="13"/>
        <v>0.000488473832325014</v>
      </c>
      <c r="J152" s="156">
        <f t="shared" si="14"/>
        <v>0.984865164245417</v>
      </c>
      <c r="K152" s="164"/>
      <c r="Q152">
        <f t="shared" si="10"/>
        <v>710178.09</v>
      </c>
      <c r="R152">
        <f t="shared" si="11"/>
        <v>700365.05</v>
      </c>
    </row>
    <row r="153" ht="45" spans="3:18">
      <c r="C153" s="147">
        <v>91940</v>
      </c>
      <c r="D153" s="148" t="s">
        <v>603</v>
      </c>
      <c r="E153" s="149" t="s">
        <v>601</v>
      </c>
      <c r="F153" s="149">
        <v>33</v>
      </c>
      <c r="G153" s="149">
        <v>10.25</v>
      </c>
      <c r="H153" s="149">
        <f t="shared" si="12"/>
        <v>338.25</v>
      </c>
      <c r="I153" s="156">
        <f t="shared" si="13"/>
        <v>0.000482962420811832</v>
      </c>
      <c r="J153" s="156">
        <f t="shared" si="14"/>
        <v>0.985348126666229</v>
      </c>
      <c r="K153" s="164"/>
      <c r="Q153">
        <f t="shared" si="10"/>
        <v>710178.09</v>
      </c>
      <c r="R153">
        <f t="shared" si="11"/>
        <v>700365.05</v>
      </c>
    </row>
    <row r="154" ht="45" spans="3:18">
      <c r="C154" s="147" t="s">
        <v>958</v>
      </c>
      <c r="D154" s="148" t="s">
        <v>665</v>
      </c>
      <c r="E154" s="149" t="s">
        <v>21</v>
      </c>
      <c r="F154" s="149">
        <v>8</v>
      </c>
      <c r="G154" s="149">
        <v>41.55</v>
      </c>
      <c r="H154" s="149">
        <f t="shared" si="12"/>
        <v>332.4</v>
      </c>
      <c r="I154" s="156">
        <f t="shared" si="13"/>
        <v>0.000474609633933047</v>
      </c>
      <c r="J154" s="156">
        <f t="shared" si="14"/>
        <v>0.985822736300162</v>
      </c>
      <c r="K154" s="164"/>
      <c r="Q154">
        <f t="shared" si="10"/>
        <v>710178.09</v>
      </c>
      <c r="R154">
        <f t="shared" si="11"/>
        <v>700365.05</v>
      </c>
    </row>
    <row r="155" ht="45" spans="3:18">
      <c r="C155" s="147">
        <v>92000</v>
      </c>
      <c r="D155" s="148" t="s">
        <v>575</v>
      </c>
      <c r="E155" s="149" t="s">
        <v>21</v>
      </c>
      <c r="F155" s="149">
        <v>19</v>
      </c>
      <c r="G155" s="149">
        <v>17.37</v>
      </c>
      <c r="H155" s="149">
        <f t="shared" si="12"/>
        <v>330.03</v>
      </c>
      <c r="I155" s="156">
        <f t="shared" si="13"/>
        <v>0.000471225684377026</v>
      </c>
      <c r="J155" s="156">
        <f t="shared" si="14"/>
        <v>0.986293961984539</v>
      </c>
      <c r="K155" s="164"/>
      <c r="Q155">
        <f t="shared" si="10"/>
        <v>710178.09</v>
      </c>
      <c r="R155">
        <f t="shared" si="11"/>
        <v>700365.05</v>
      </c>
    </row>
    <row r="156" ht="45" spans="3:18">
      <c r="C156" s="147" t="s">
        <v>963</v>
      </c>
      <c r="D156" s="148" t="s">
        <v>669</v>
      </c>
      <c r="E156" s="149" t="s">
        <v>21</v>
      </c>
      <c r="F156" s="149">
        <v>4</v>
      </c>
      <c r="G156" s="149">
        <v>81.44</v>
      </c>
      <c r="H156" s="149">
        <f t="shared" si="12"/>
        <v>325.76</v>
      </c>
      <c r="I156" s="156">
        <f t="shared" si="13"/>
        <v>0.000465128863868921</v>
      </c>
      <c r="J156" s="156">
        <f t="shared" si="14"/>
        <v>0.986759090848408</v>
      </c>
      <c r="K156" s="164"/>
      <c r="Q156">
        <f t="shared" si="10"/>
        <v>710178.09</v>
      </c>
      <c r="R156">
        <f t="shared" si="11"/>
        <v>700365.05</v>
      </c>
    </row>
    <row r="157" ht="45" spans="3:18">
      <c r="C157" s="147">
        <v>94230</v>
      </c>
      <c r="D157" s="148" t="s">
        <v>509</v>
      </c>
      <c r="E157" s="149" t="s">
        <v>120</v>
      </c>
      <c r="F157" s="149">
        <v>5.125</v>
      </c>
      <c r="G157" s="149">
        <v>63.49</v>
      </c>
      <c r="H157" s="149">
        <f t="shared" si="12"/>
        <v>325.39</v>
      </c>
      <c r="I157" s="156">
        <f t="shared" si="13"/>
        <v>0.000464600567946673</v>
      </c>
      <c r="J157" s="156">
        <f t="shared" si="14"/>
        <v>0.987223691416355</v>
      </c>
      <c r="K157" s="164"/>
      <c r="Q157">
        <f t="shared" si="10"/>
        <v>710178.09</v>
      </c>
      <c r="R157">
        <f t="shared" si="11"/>
        <v>700365.05</v>
      </c>
    </row>
    <row r="158" ht="30" spans="3:18">
      <c r="C158" s="147">
        <v>93661</v>
      </c>
      <c r="D158" s="148" t="s">
        <v>645</v>
      </c>
      <c r="E158" s="149" t="s">
        <v>21</v>
      </c>
      <c r="F158" s="149">
        <v>8</v>
      </c>
      <c r="G158" s="149">
        <v>39.86</v>
      </c>
      <c r="H158" s="149">
        <f t="shared" si="12"/>
        <v>318.88</v>
      </c>
      <c r="I158" s="156">
        <f t="shared" si="13"/>
        <v>0.000455305415368742</v>
      </c>
      <c r="J158" s="156">
        <f t="shared" si="14"/>
        <v>0.987678996831723</v>
      </c>
      <c r="K158" s="164"/>
      <c r="Q158">
        <f t="shared" si="10"/>
        <v>710178.09</v>
      </c>
      <c r="R158">
        <f t="shared" si="11"/>
        <v>700365.05</v>
      </c>
    </row>
    <row r="159" ht="30" spans="3:18">
      <c r="C159" s="147">
        <v>90456</v>
      </c>
      <c r="D159" s="148" t="s">
        <v>596</v>
      </c>
      <c r="E159" s="149" t="s">
        <v>21</v>
      </c>
      <c r="F159" s="149">
        <v>103</v>
      </c>
      <c r="G159" s="149">
        <v>3.08</v>
      </c>
      <c r="H159" s="149">
        <f t="shared" si="12"/>
        <v>317.24</v>
      </c>
      <c r="I159" s="156">
        <f t="shared" si="13"/>
        <v>0.000452963779389049</v>
      </c>
      <c r="J159" s="156">
        <f t="shared" si="14"/>
        <v>0.988131960611112</v>
      </c>
      <c r="K159" s="164"/>
      <c r="Q159">
        <f t="shared" si="10"/>
        <v>710178.09</v>
      </c>
      <c r="R159">
        <f t="shared" si="11"/>
        <v>700365.05</v>
      </c>
    </row>
    <row r="160" spans="3:18">
      <c r="C160" s="147" t="s">
        <v>219</v>
      </c>
      <c r="D160" s="148" t="s">
        <v>154</v>
      </c>
      <c r="E160" s="149" t="s">
        <v>95</v>
      </c>
      <c r="F160" s="149">
        <v>48.91</v>
      </c>
      <c r="G160" s="149">
        <v>6.44</v>
      </c>
      <c r="H160" s="149">
        <f t="shared" si="12"/>
        <v>314.98</v>
      </c>
      <c r="I160" s="156">
        <f t="shared" si="13"/>
        <v>0.000449736890782885</v>
      </c>
      <c r="J160" s="156">
        <f t="shared" si="14"/>
        <v>0.988581697501895</v>
      </c>
      <c r="K160" s="164"/>
      <c r="Q160">
        <f t="shared" si="10"/>
        <v>710178.09</v>
      </c>
      <c r="R160">
        <f t="shared" si="11"/>
        <v>700365.05</v>
      </c>
    </row>
    <row r="161" spans="3:18">
      <c r="C161" s="147">
        <v>89865</v>
      </c>
      <c r="D161" s="148" t="s">
        <v>517</v>
      </c>
      <c r="E161" s="149" t="s">
        <v>120</v>
      </c>
      <c r="F161" s="149">
        <v>36</v>
      </c>
      <c r="G161" s="149">
        <v>8.67</v>
      </c>
      <c r="H161" s="149">
        <f t="shared" si="12"/>
        <v>312.12</v>
      </c>
      <c r="I161" s="156">
        <f t="shared" si="13"/>
        <v>0.00044565330608659</v>
      </c>
      <c r="J161" s="156">
        <f t="shared" si="14"/>
        <v>0.989027350807982</v>
      </c>
      <c r="K161" s="164"/>
      <c r="Q161">
        <f t="shared" si="10"/>
        <v>710178.09</v>
      </c>
      <c r="R161">
        <f t="shared" si="11"/>
        <v>700365.05</v>
      </c>
    </row>
    <row r="162" ht="30" spans="3:18">
      <c r="C162" s="147" t="s">
        <v>324</v>
      </c>
      <c r="D162" s="148" t="s">
        <v>326</v>
      </c>
      <c r="E162" s="149" t="s">
        <v>120</v>
      </c>
      <c r="F162" s="149">
        <v>7</v>
      </c>
      <c r="G162" s="149">
        <v>44.41</v>
      </c>
      <c r="H162" s="149">
        <f t="shared" si="12"/>
        <v>310.87</v>
      </c>
      <c r="I162" s="156">
        <f t="shared" si="13"/>
        <v>0.000443868522565482</v>
      </c>
      <c r="J162" s="156">
        <f t="shared" si="14"/>
        <v>0.989471219330547</v>
      </c>
      <c r="K162" s="164"/>
      <c r="Q162">
        <f t="shared" si="10"/>
        <v>710178.09</v>
      </c>
      <c r="R162">
        <f t="shared" si="11"/>
        <v>700365.05</v>
      </c>
    </row>
    <row r="163" spans="3:18">
      <c r="C163" s="147" t="s">
        <v>196</v>
      </c>
      <c r="D163" s="148" t="s">
        <v>157</v>
      </c>
      <c r="E163" s="149" t="s">
        <v>95</v>
      </c>
      <c r="F163" s="149">
        <v>40.09</v>
      </c>
      <c r="G163" s="149">
        <v>7.35</v>
      </c>
      <c r="H163" s="149">
        <f t="shared" si="12"/>
        <v>294.66</v>
      </c>
      <c r="I163" s="156">
        <f t="shared" si="13"/>
        <v>0.000420723449863753</v>
      </c>
      <c r="J163" s="156">
        <f t="shared" si="14"/>
        <v>0.989891942780411</v>
      </c>
      <c r="K163" s="164"/>
      <c r="Q163">
        <f t="shared" si="10"/>
        <v>710178.09</v>
      </c>
      <c r="R163">
        <f t="shared" si="11"/>
        <v>700365.05</v>
      </c>
    </row>
    <row r="164" ht="45" spans="3:18">
      <c r="C164" s="147">
        <v>91992</v>
      </c>
      <c r="D164" s="148" t="s">
        <v>555</v>
      </c>
      <c r="E164" s="149" t="s">
        <v>21</v>
      </c>
      <c r="F164" s="149">
        <v>11</v>
      </c>
      <c r="G164" s="149">
        <v>26.45</v>
      </c>
      <c r="H164" s="149">
        <f t="shared" si="12"/>
        <v>290.95</v>
      </c>
      <c r="I164" s="156">
        <f t="shared" si="13"/>
        <v>0.000415426212373105</v>
      </c>
      <c r="J164" s="156">
        <f t="shared" si="14"/>
        <v>0.990307368992784</v>
      </c>
      <c r="K164" s="164"/>
      <c r="Q164">
        <f t="shared" si="10"/>
        <v>710178.09</v>
      </c>
      <c r="R164">
        <f t="shared" si="11"/>
        <v>700365.05</v>
      </c>
    </row>
    <row r="165" ht="30" spans="3:18">
      <c r="C165" s="147">
        <v>95544</v>
      </c>
      <c r="D165" s="148" t="s">
        <v>481</v>
      </c>
      <c r="E165" s="149" t="s">
        <v>21</v>
      </c>
      <c r="F165" s="149">
        <v>13</v>
      </c>
      <c r="G165" s="149">
        <v>21.72</v>
      </c>
      <c r="H165" s="149">
        <f t="shared" si="12"/>
        <v>282.36</v>
      </c>
      <c r="I165" s="156">
        <f t="shared" si="13"/>
        <v>0.00040316118001605</v>
      </c>
      <c r="J165" s="156">
        <f t="shared" si="14"/>
        <v>0.9907105301728</v>
      </c>
      <c r="K165" s="164"/>
      <c r="Q165">
        <f t="shared" si="10"/>
        <v>710178.09</v>
      </c>
      <c r="R165">
        <f t="shared" si="11"/>
        <v>700365.05</v>
      </c>
    </row>
    <row r="166" ht="45" spans="3:18">
      <c r="C166" s="147">
        <v>91953</v>
      </c>
      <c r="D166" s="148" t="s">
        <v>565</v>
      </c>
      <c r="E166" s="149" t="s">
        <v>21</v>
      </c>
      <c r="F166" s="149">
        <v>17</v>
      </c>
      <c r="G166" s="149">
        <v>16.5</v>
      </c>
      <c r="H166" s="149">
        <f t="shared" si="12"/>
        <v>280.5</v>
      </c>
      <c r="I166" s="156">
        <f t="shared" si="13"/>
        <v>0.000400505422136642</v>
      </c>
      <c r="J166" s="156">
        <f t="shared" si="14"/>
        <v>0.991111035594937</v>
      </c>
      <c r="K166" s="164"/>
      <c r="Q166">
        <f t="shared" si="10"/>
        <v>710178.09</v>
      </c>
      <c r="R166">
        <f t="shared" si="11"/>
        <v>700365.05</v>
      </c>
    </row>
    <row r="167" ht="45" spans="3:18">
      <c r="C167" s="147">
        <v>91993</v>
      </c>
      <c r="D167" s="148" t="s">
        <v>557</v>
      </c>
      <c r="E167" s="149" t="s">
        <v>21</v>
      </c>
      <c r="F167" s="149">
        <v>10</v>
      </c>
      <c r="G167" s="149">
        <v>27.67</v>
      </c>
      <c r="H167" s="149">
        <f t="shared" si="12"/>
        <v>276.7</v>
      </c>
      <c r="I167" s="156">
        <f t="shared" si="13"/>
        <v>0.000395079680232473</v>
      </c>
      <c r="J167" s="156">
        <f t="shared" si="14"/>
        <v>0.991506115275169</v>
      </c>
      <c r="K167" s="164"/>
      <c r="Q167">
        <f t="shared" si="10"/>
        <v>710178.09</v>
      </c>
      <c r="R167">
        <f t="shared" si="11"/>
        <v>700365.05</v>
      </c>
    </row>
    <row r="168" ht="45" spans="3:18">
      <c r="C168" s="147" t="s">
        <v>960</v>
      </c>
      <c r="D168" s="148" t="s">
        <v>667</v>
      </c>
      <c r="E168" s="149" t="s">
        <v>21</v>
      </c>
      <c r="F168" s="149">
        <v>4</v>
      </c>
      <c r="G168" s="149">
        <v>62.8</v>
      </c>
      <c r="H168" s="149">
        <f t="shared" si="12"/>
        <v>251.2</v>
      </c>
      <c r="I168" s="156">
        <f t="shared" si="13"/>
        <v>0.000358670096401869</v>
      </c>
      <c r="J168" s="156">
        <f t="shared" si="14"/>
        <v>0.991864785371571</v>
      </c>
      <c r="K168" s="164"/>
      <c r="Q168">
        <f t="shared" si="10"/>
        <v>710178.09</v>
      </c>
      <c r="R168">
        <f t="shared" si="11"/>
        <v>700365.05</v>
      </c>
    </row>
    <row r="169" ht="30" spans="3:18">
      <c r="C169" s="147" t="s">
        <v>403</v>
      </c>
      <c r="D169" s="148" t="s">
        <v>405</v>
      </c>
      <c r="E169" s="149" t="s">
        <v>120</v>
      </c>
      <c r="F169" s="149">
        <v>17.66</v>
      </c>
      <c r="G169" s="149">
        <v>12.93</v>
      </c>
      <c r="H169" s="149">
        <f t="shared" si="12"/>
        <v>228.34</v>
      </c>
      <c r="I169" s="156">
        <f t="shared" si="13"/>
        <v>0.000326029975367846</v>
      </c>
      <c r="J169" s="156">
        <f t="shared" si="14"/>
        <v>0.992190815346939</v>
      </c>
      <c r="K169" s="164"/>
      <c r="Q169">
        <f t="shared" si="10"/>
        <v>710178.09</v>
      </c>
      <c r="R169">
        <f t="shared" si="11"/>
        <v>700365.05</v>
      </c>
    </row>
    <row r="170" ht="45" spans="3:18">
      <c r="C170" s="147">
        <v>91931</v>
      </c>
      <c r="D170" s="148" t="s">
        <v>618</v>
      </c>
      <c r="E170" s="149" t="s">
        <v>120</v>
      </c>
      <c r="F170" s="149">
        <v>44.5</v>
      </c>
      <c r="G170" s="149">
        <v>4.89</v>
      </c>
      <c r="H170" s="149">
        <f t="shared" si="12"/>
        <v>217.61</v>
      </c>
      <c r="I170" s="156">
        <f t="shared" si="13"/>
        <v>0.000310709393622654</v>
      </c>
      <c r="J170" s="156">
        <f t="shared" si="14"/>
        <v>0.992501524740562</v>
      </c>
      <c r="K170" s="164"/>
      <c r="Q170">
        <f t="shared" si="10"/>
        <v>710178.09</v>
      </c>
      <c r="R170">
        <f t="shared" si="11"/>
        <v>700365.05</v>
      </c>
    </row>
    <row r="171" ht="30" spans="3:18">
      <c r="C171" s="147" t="s">
        <v>937</v>
      </c>
      <c r="D171" s="148" t="s">
        <v>653</v>
      </c>
      <c r="E171" s="149" t="s">
        <v>21</v>
      </c>
      <c r="F171" s="149">
        <v>2</v>
      </c>
      <c r="G171" s="149">
        <v>108.45</v>
      </c>
      <c r="H171" s="149">
        <f t="shared" si="12"/>
        <v>216.9</v>
      </c>
      <c r="I171" s="156">
        <f t="shared" si="13"/>
        <v>0.000309695636582665</v>
      </c>
      <c r="J171" s="156">
        <f t="shared" si="14"/>
        <v>0.992811220377144</v>
      </c>
      <c r="K171" s="164"/>
      <c r="Q171">
        <f t="shared" si="10"/>
        <v>710178.09</v>
      </c>
      <c r="R171">
        <f t="shared" si="11"/>
        <v>700365.05</v>
      </c>
    </row>
    <row r="172" ht="45" spans="3:18">
      <c r="C172" s="147">
        <v>91939</v>
      </c>
      <c r="D172" s="148" t="s">
        <v>600</v>
      </c>
      <c r="E172" s="149" t="s">
        <v>601</v>
      </c>
      <c r="F172" s="149">
        <v>11</v>
      </c>
      <c r="G172" s="149">
        <v>19.71</v>
      </c>
      <c r="H172" s="149">
        <f t="shared" si="12"/>
        <v>216.81</v>
      </c>
      <c r="I172" s="156">
        <f t="shared" si="13"/>
        <v>0.000309567132169145</v>
      </c>
      <c r="J172" s="156">
        <f t="shared" si="14"/>
        <v>0.993120787509314</v>
      </c>
      <c r="K172" s="164"/>
      <c r="Q172">
        <f t="shared" si="10"/>
        <v>710178.09</v>
      </c>
      <c r="R172">
        <f t="shared" si="11"/>
        <v>700365.05</v>
      </c>
    </row>
    <row r="173" ht="60" spans="3:18">
      <c r="C173" s="147">
        <v>11758</v>
      </c>
      <c r="D173" s="148" t="s">
        <v>483</v>
      </c>
      <c r="E173" s="149" t="s">
        <v>21</v>
      </c>
      <c r="F173" s="149">
        <v>6</v>
      </c>
      <c r="G173" s="149">
        <v>34.89</v>
      </c>
      <c r="H173" s="149">
        <f t="shared" si="12"/>
        <v>209.34</v>
      </c>
      <c r="I173" s="156">
        <f t="shared" si="13"/>
        <v>0.000298901265847004</v>
      </c>
      <c r="J173" s="156">
        <f t="shared" si="14"/>
        <v>0.993419688775161</v>
      </c>
      <c r="K173" s="164"/>
      <c r="Q173">
        <f t="shared" si="10"/>
        <v>710178.09</v>
      </c>
      <c r="R173">
        <f t="shared" si="11"/>
        <v>700365.05</v>
      </c>
    </row>
    <row r="174" ht="30" spans="3:18">
      <c r="C174" s="147">
        <v>85005</v>
      </c>
      <c r="D174" s="148" t="s">
        <v>485</v>
      </c>
      <c r="E174" s="149" t="s">
        <v>17</v>
      </c>
      <c r="F174" s="149">
        <v>0.75</v>
      </c>
      <c r="G174" s="149">
        <v>238.56</v>
      </c>
      <c r="H174" s="149">
        <f t="shared" si="12"/>
        <v>178.92</v>
      </c>
      <c r="I174" s="156">
        <f t="shared" si="13"/>
        <v>0.000255466774077319</v>
      </c>
      <c r="J174" s="156">
        <f t="shared" si="14"/>
        <v>0.993675155549238</v>
      </c>
      <c r="K174" s="164"/>
      <c r="Q174">
        <f t="shared" si="10"/>
        <v>710178.09</v>
      </c>
      <c r="R174">
        <f t="shared" si="11"/>
        <v>700365.05</v>
      </c>
    </row>
    <row r="175" ht="45" spans="3:18">
      <c r="C175" s="147">
        <v>92005</v>
      </c>
      <c r="D175" s="148" t="s">
        <v>563</v>
      </c>
      <c r="E175" s="149" t="s">
        <v>21</v>
      </c>
      <c r="F175" s="149">
        <v>5</v>
      </c>
      <c r="G175" s="149">
        <v>35.32</v>
      </c>
      <c r="H175" s="149">
        <f t="shared" si="12"/>
        <v>176.6</v>
      </c>
      <c r="I175" s="156">
        <f t="shared" si="13"/>
        <v>0.000252154215862142</v>
      </c>
      <c r="J175" s="156">
        <f t="shared" si="14"/>
        <v>0.9939273097651</v>
      </c>
      <c r="K175" s="164"/>
      <c r="Q175">
        <f t="shared" si="10"/>
        <v>710178.09</v>
      </c>
      <c r="R175">
        <f t="shared" si="11"/>
        <v>700365.05</v>
      </c>
    </row>
    <row r="176" ht="30" spans="3:18">
      <c r="C176" s="147">
        <v>83443</v>
      </c>
      <c r="D176" s="148" t="s">
        <v>609</v>
      </c>
      <c r="E176" s="149" t="s">
        <v>21</v>
      </c>
      <c r="F176" s="149">
        <v>4</v>
      </c>
      <c r="G176" s="149">
        <v>41.53</v>
      </c>
      <c r="H176" s="149">
        <f t="shared" si="12"/>
        <v>166.12</v>
      </c>
      <c r="I176" s="156">
        <f t="shared" si="13"/>
        <v>0.000237190590821173</v>
      </c>
      <c r="J176" s="156">
        <f t="shared" si="14"/>
        <v>0.994164500355921</v>
      </c>
      <c r="K176" s="164"/>
      <c r="Q176">
        <f t="shared" si="10"/>
        <v>710178.09</v>
      </c>
      <c r="R176">
        <f t="shared" si="11"/>
        <v>700365.05</v>
      </c>
    </row>
    <row r="177" ht="45" spans="3:18">
      <c r="C177" s="147">
        <v>92980</v>
      </c>
      <c r="D177" s="148" t="s">
        <v>619</v>
      </c>
      <c r="E177" s="149" t="s">
        <v>120</v>
      </c>
      <c r="F177" s="149">
        <v>35.9</v>
      </c>
      <c r="G177" s="149">
        <v>4.6</v>
      </c>
      <c r="H177" s="149">
        <f t="shared" si="12"/>
        <v>165.14</v>
      </c>
      <c r="I177" s="156">
        <f t="shared" si="13"/>
        <v>0.000235791320540624</v>
      </c>
      <c r="J177" s="156">
        <f t="shared" si="14"/>
        <v>0.994400291676462</v>
      </c>
      <c r="K177" s="164"/>
      <c r="Q177">
        <f t="shared" si="10"/>
        <v>710178.09</v>
      </c>
      <c r="R177">
        <f t="shared" si="11"/>
        <v>700365.05</v>
      </c>
    </row>
    <row r="178" spans="3:18">
      <c r="C178" s="147">
        <v>87905</v>
      </c>
      <c r="D178" s="148" t="s">
        <v>504</v>
      </c>
      <c r="E178" s="149" t="s">
        <v>502</v>
      </c>
      <c r="F178" s="149">
        <v>25.24</v>
      </c>
      <c r="G178" s="149">
        <v>6.31</v>
      </c>
      <c r="H178" s="149">
        <f t="shared" si="12"/>
        <v>159.26</v>
      </c>
      <c r="I178" s="156">
        <f t="shared" si="13"/>
        <v>0.000227395698857332</v>
      </c>
      <c r="J178" s="156">
        <f t="shared" si="14"/>
        <v>0.994627687375319</v>
      </c>
      <c r="K178" s="164"/>
      <c r="Q178">
        <f t="shared" si="10"/>
        <v>710178.09</v>
      </c>
      <c r="R178">
        <f t="shared" si="11"/>
        <v>700365.05</v>
      </c>
    </row>
    <row r="179" ht="45" spans="3:18">
      <c r="C179" s="147">
        <v>91869</v>
      </c>
      <c r="D179" s="148" t="s">
        <v>592</v>
      </c>
      <c r="E179" s="149" t="s">
        <v>120</v>
      </c>
      <c r="F179" s="149">
        <v>16.1</v>
      </c>
      <c r="G179" s="149">
        <v>9.74</v>
      </c>
      <c r="H179" s="149">
        <f t="shared" si="12"/>
        <v>156.81</v>
      </c>
      <c r="I179" s="156">
        <f t="shared" si="13"/>
        <v>0.00022389752315596</v>
      </c>
      <c r="J179" s="156">
        <f t="shared" si="14"/>
        <v>0.994851584898475</v>
      </c>
      <c r="K179" s="164"/>
      <c r="Q179">
        <f t="shared" si="10"/>
        <v>710178.09</v>
      </c>
      <c r="R179">
        <f t="shared" si="11"/>
        <v>700365.05</v>
      </c>
    </row>
    <row r="180" ht="30" spans="3:18">
      <c r="C180" s="147" t="s">
        <v>76</v>
      </c>
      <c r="D180" s="148" t="s">
        <v>78</v>
      </c>
      <c r="E180" s="149" t="s">
        <v>17</v>
      </c>
      <c r="F180" s="149">
        <v>23.8</v>
      </c>
      <c r="G180" s="149">
        <v>6.44</v>
      </c>
      <c r="H180" s="149">
        <f t="shared" si="12"/>
        <v>153.27</v>
      </c>
      <c r="I180" s="156">
        <f t="shared" si="13"/>
        <v>0.000218843016224182</v>
      </c>
      <c r="J180" s="156">
        <f t="shared" si="14"/>
        <v>0.995070427914699</v>
      </c>
      <c r="K180" s="164"/>
      <c r="Q180">
        <f t="shared" si="10"/>
        <v>710178.09</v>
      </c>
      <c r="R180">
        <f t="shared" si="11"/>
        <v>700365.05</v>
      </c>
    </row>
    <row r="181" spans="3:18">
      <c r="C181" s="147" t="s">
        <v>418</v>
      </c>
      <c r="D181" s="148" t="s">
        <v>420</v>
      </c>
      <c r="E181" s="149" t="s">
        <v>21</v>
      </c>
      <c r="F181" s="149">
        <v>1</v>
      </c>
      <c r="G181" s="149">
        <v>150.08</v>
      </c>
      <c r="H181" s="149">
        <f t="shared" si="12"/>
        <v>150.08</v>
      </c>
      <c r="I181" s="156">
        <f t="shared" si="13"/>
        <v>0.000214288248678314</v>
      </c>
      <c r="J181" s="156">
        <f t="shared" si="14"/>
        <v>0.995284716163378</v>
      </c>
      <c r="K181" s="164"/>
      <c r="Q181">
        <f t="shared" si="10"/>
        <v>710178.09</v>
      </c>
      <c r="R181">
        <f t="shared" si="11"/>
        <v>700365.05</v>
      </c>
    </row>
    <row r="182" spans="3:18">
      <c r="C182" s="147" t="s">
        <v>252</v>
      </c>
      <c r="D182" s="148" t="s">
        <v>254</v>
      </c>
      <c r="E182" s="149" t="s">
        <v>56</v>
      </c>
      <c r="F182" s="149">
        <v>10.26</v>
      </c>
      <c r="G182" s="149">
        <v>14.16</v>
      </c>
      <c r="H182" s="149">
        <f t="shared" si="12"/>
        <v>145.28</v>
      </c>
      <c r="I182" s="156">
        <f t="shared" si="13"/>
        <v>0.000207434679957259</v>
      </c>
      <c r="J182" s="156">
        <f t="shared" si="14"/>
        <v>0.995492150843335</v>
      </c>
      <c r="K182" s="164"/>
      <c r="Q182">
        <f t="shared" si="10"/>
        <v>710178.09</v>
      </c>
      <c r="R182">
        <f t="shared" si="11"/>
        <v>700365.05</v>
      </c>
    </row>
    <row r="183" ht="30" spans="3:18">
      <c r="C183" s="147" t="s">
        <v>406</v>
      </c>
      <c r="D183" s="148" t="s">
        <v>408</v>
      </c>
      <c r="E183" s="149" t="s">
        <v>120</v>
      </c>
      <c r="F183" s="149">
        <f>2*3.6</f>
        <v>7.2</v>
      </c>
      <c r="G183" s="149">
        <v>18.48</v>
      </c>
      <c r="H183" s="149">
        <f t="shared" si="12"/>
        <v>133.06</v>
      </c>
      <c r="I183" s="156">
        <f t="shared" si="13"/>
        <v>0.000189986636254907</v>
      </c>
      <c r="J183" s="156">
        <f t="shared" si="14"/>
        <v>0.99568213747959</v>
      </c>
      <c r="K183" s="164"/>
      <c r="Q183">
        <f t="shared" si="10"/>
        <v>710178.09</v>
      </c>
      <c r="R183">
        <f t="shared" si="11"/>
        <v>700365.05</v>
      </c>
    </row>
    <row r="184" spans="3:18">
      <c r="C184" s="147">
        <v>89707</v>
      </c>
      <c r="D184" s="148" t="s">
        <v>417</v>
      </c>
      <c r="E184" s="149" t="s">
        <v>21</v>
      </c>
      <c r="F184" s="149">
        <v>7</v>
      </c>
      <c r="G184" s="149">
        <v>17.23</v>
      </c>
      <c r="H184" s="149">
        <f t="shared" si="12"/>
        <v>120.61</v>
      </c>
      <c r="I184" s="156">
        <f t="shared" si="13"/>
        <v>0.000172210192384671</v>
      </c>
      <c r="J184" s="156">
        <f t="shared" si="14"/>
        <v>0.995854347671974</v>
      </c>
      <c r="K184" s="164"/>
      <c r="Q184">
        <f t="shared" si="10"/>
        <v>710178.09</v>
      </c>
      <c r="R184">
        <f t="shared" si="11"/>
        <v>700365.05</v>
      </c>
    </row>
    <row r="185" ht="60" spans="3:18">
      <c r="C185" s="147">
        <v>83370</v>
      </c>
      <c r="D185" s="148" t="s">
        <v>701</v>
      </c>
      <c r="E185" s="149" t="s">
        <v>21</v>
      </c>
      <c r="F185" s="149">
        <v>1</v>
      </c>
      <c r="G185" s="149">
        <v>120.58</v>
      </c>
      <c r="H185" s="149">
        <f t="shared" si="12"/>
        <v>120.58</v>
      </c>
      <c r="I185" s="156">
        <f t="shared" si="13"/>
        <v>0.000172167357580165</v>
      </c>
      <c r="J185" s="156">
        <f t="shared" si="14"/>
        <v>0.996026515029555</v>
      </c>
      <c r="K185" s="164"/>
      <c r="Q185">
        <f t="shared" si="10"/>
        <v>710178.09</v>
      </c>
      <c r="R185">
        <f t="shared" si="11"/>
        <v>700365.05</v>
      </c>
    </row>
    <row r="186" ht="30" spans="3:18">
      <c r="C186" s="147">
        <v>93672</v>
      </c>
      <c r="D186" s="148" t="s">
        <v>649</v>
      </c>
      <c r="E186" s="149" t="s">
        <v>21</v>
      </c>
      <c r="F186" s="149">
        <v>2</v>
      </c>
      <c r="G186" s="149">
        <v>59.72</v>
      </c>
      <c r="H186" s="149">
        <f t="shared" si="12"/>
        <v>119.44</v>
      </c>
      <c r="I186" s="156">
        <f t="shared" si="13"/>
        <v>0.000170539635008914</v>
      </c>
      <c r="J186" s="156">
        <f t="shared" si="14"/>
        <v>0.996197054664563</v>
      </c>
      <c r="K186" s="164"/>
      <c r="Q186">
        <f t="shared" si="10"/>
        <v>710178.09</v>
      </c>
      <c r="R186">
        <f t="shared" si="11"/>
        <v>700365.05</v>
      </c>
    </row>
    <row r="187" ht="30" spans="3:18">
      <c r="C187" s="147" t="s">
        <v>934</v>
      </c>
      <c r="D187" s="148" t="s">
        <v>651</v>
      </c>
      <c r="E187" s="149" t="s">
        <v>21</v>
      </c>
      <c r="F187" s="149">
        <v>1</v>
      </c>
      <c r="G187" s="149">
        <v>119.1</v>
      </c>
      <c r="H187" s="149">
        <f t="shared" si="12"/>
        <v>119.1</v>
      </c>
      <c r="I187" s="156">
        <f t="shared" si="13"/>
        <v>0.000170054173891173</v>
      </c>
      <c r="J187" s="156">
        <f t="shared" si="14"/>
        <v>0.996367108838455</v>
      </c>
      <c r="K187" s="164"/>
      <c r="Q187">
        <f t="shared" si="10"/>
        <v>710178.09</v>
      </c>
      <c r="R187">
        <f t="shared" si="11"/>
        <v>700365.05</v>
      </c>
    </row>
    <row r="188" ht="30" spans="3:18">
      <c r="C188" s="147" t="s">
        <v>994</v>
      </c>
      <c r="D188" s="148" t="s">
        <v>690</v>
      </c>
      <c r="E188" s="149" t="s">
        <v>21</v>
      </c>
      <c r="F188" s="149">
        <v>18</v>
      </c>
      <c r="G188" s="149">
        <v>6.58</v>
      </c>
      <c r="H188" s="149">
        <f t="shared" si="12"/>
        <v>118.44</v>
      </c>
      <c r="I188" s="156">
        <f t="shared" si="13"/>
        <v>0.000169111808192028</v>
      </c>
      <c r="J188" s="156">
        <f t="shared" si="14"/>
        <v>0.996536220646647</v>
      </c>
      <c r="K188" s="164"/>
      <c r="Q188">
        <f t="shared" si="10"/>
        <v>710178.09</v>
      </c>
      <c r="R188">
        <f t="shared" si="11"/>
        <v>700365.05</v>
      </c>
    </row>
    <row r="189" ht="30" spans="3:18">
      <c r="C189" s="147">
        <v>93671</v>
      </c>
      <c r="D189" s="148" t="s">
        <v>647</v>
      </c>
      <c r="E189" s="149" t="s">
        <v>21</v>
      </c>
      <c r="F189" s="149">
        <v>2</v>
      </c>
      <c r="G189" s="149">
        <v>54.98</v>
      </c>
      <c r="H189" s="149">
        <f t="shared" si="12"/>
        <v>109.96</v>
      </c>
      <c r="I189" s="156">
        <f t="shared" si="13"/>
        <v>0.000157003836784831</v>
      </c>
      <c r="J189" s="156">
        <f t="shared" si="14"/>
        <v>0.996693224483431</v>
      </c>
      <c r="K189" s="164"/>
      <c r="Q189">
        <f t="shared" si="10"/>
        <v>710178.09</v>
      </c>
      <c r="R189">
        <f t="shared" si="11"/>
        <v>700365.05</v>
      </c>
    </row>
    <row r="190" ht="60" spans="3:18">
      <c r="C190" s="147" t="s">
        <v>931</v>
      </c>
      <c r="D190" s="148" t="s">
        <v>628</v>
      </c>
      <c r="E190" s="149" t="s">
        <v>21</v>
      </c>
      <c r="F190" s="149">
        <v>3</v>
      </c>
      <c r="G190" s="149">
        <v>34.9</v>
      </c>
      <c r="H190" s="149">
        <f t="shared" si="12"/>
        <v>104.7</v>
      </c>
      <c r="I190" s="156">
        <f t="shared" si="13"/>
        <v>0.000149493467728008</v>
      </c>
      <c r="J190" s="156">
        <f t="shared" si="14"/>
        <v>0.996842717951159</v>
      </c>
      <c r="K190" s="164"/>
      <c r="Q190">
        <f t="shared" si="10"/>
        <v>710178.09</v>
      </c>
      <c r="R190">
        <f t="shared" si="11"/>
        <v>700365.05</v>
      </c>
    </row>
    <row r="191" ht="45" spans="3:18">
      <c r="C191" s="147" t="s">
        <v>982</v>
      </c>
      <c r="D191" s="148" t="s">
        <v>680</v>
      </c>
      <c r="E191" s="149" t="s">
        <v>21</v>
      </c>
      <c r="F191" s="149">
        <v>3</v>
      </c>
      <c r="G191" s="149">
        <v>33.37</v>
      </c>
      <c r="H191" s="149">
        <f t="shared" si="12"/>
        <v>100.11</v>
      </c>
      <c r="I191" s="156">
        <f t="shared" si="13"/>
        <v>0.0001429397426385</v>
      </c>
      <c r="J191" s="156">
        <f t="shared" si="14"/>
        <v>0.996985657693798</v>
      </c>
      <c r="K191" s="164"/>
      <c r="Q191">
        <f t="shared" si="10"/>
        <v>710178.09</v>
      </c>
      <c r="R191">
        <f t="shared" si="11"/>
        <v>700365.05</v>
      </c>
    </row>
    <row r="192" ht="45" spans="3:18">
      <c r="C192" s="147">
        <v>95634</v>
      </c>
      <c r="D192" s="148" t="s">
        <v>394</v>
      </c>
      <c r="E192" s="149" t="s">
        <v>21</v>
      </c>
      <c r="F192" s="149">
        <v>1</v>
      </c>
      <c r="G192" s="149">
        <v>89.76</v>
      </c>
      <c r="H192" s="149">
        <f t="shared" si="12"/>
        <v>89.76</v>
      </c>
      <c r="I192" s="156">
        <f t="shared" si="13"/>
        <v>0.000128161735083725</v>
      </c>
      <c r="J192" s="156">
        <f t="shared" si="14"/>
        <v>0.997113819428882</v>
      </c>
      <c r="K192" s="164"/>
      <c r="Q192">
        <f t="shared" si="10"/>
        <v>710178.09</v>
      </c>
      <c r="R192">
        <f t="shared" si="11"/>
        <v>700365.05</v>
      </c>
    </row>
    <row r="193" ht="45" spans="3:18">
      <c r="C193" s="147">
        <v>83399</v>
      </c>
      <c r="D193" s="148" t="s">
        <v>553</v>
      </c>
      <c r="E193" s="149" t="s">
        <v>21</v>
      </c>
      <c r="F193" s="149">
        <v>3</v>
      </c>
      <c r="G193" s="149">
        <v>26.34</v>
      </c>
      <c r="H193" s="149">
        <f t="shared" si="12"/>
        <v>79.02</v>
      </c>
      <c r="I193" s="156">
        <f t="shared" si="13"/>
        <v>0.000112826875070365</v>
      </c>
      <c r="J193" s="156">
        <f t="shared" si="14"/>
        <v>0.997226646303952</v>
      </c>
      <c r="K193" s="164"/>
      <c r="Q193">
        <f t="shared" si="10"/>
        <v>710178.09</v>
      </c>
      <c r="R193">
        <f t="shared" si="11"/>
        <v>700365.05</v>
      </c>
    </row>
    <row r="194" ht="45" spans="3:18">
      <c r="C194" s="147">
        <v>91959</v>
      </c>
      <c r="D194" s="148" t="s">
        <v>567</v>
      </c>
      <c r="E194" s="149" t="s">
        <v>21</v>
      </c>
      <c r="F194" s="149">
        <v>3</v>
      </c>
      <c r="G194" s="149">
        <v>26.09</v>
      </c>
      <c r="H194" s="149">
        <f t="shared" si="12"/>
        <v>78.27</v>
      </c>
      <c r="I194" s="156">
        <f t="shared" si="13"/>
        <v>0.0001117560049577</v>
      </c>
      <c r="J194" s="156">
        <f t="shared" si="14"/>
        <v>0.99733840230891</v>
      </c>
      <c r="K194" s="164"/>
      <c r="Q194">
        <f t="shared" si="10"/>
        <v>710178.09</v>
      </c>
      <c r="R194">
        <f t="shared" si="11"/>
        <v>700365.05</v>
      </c>
    </row>
    <row r="195" ht="30" spans="3:18">
      <c r="C195" s="147">
        <v>93660</v>
      </c>
      <c r="D195" s="148" t="s">
        <v>643</v>
      </c>
      <c r="E195" s="149" t="s">
        <v>21</v>
      </c>
      <c r="F195" s="149">
        <v>2</v>
      </c>
      <c r="G195" s="149">
        <v>38.99</v>
      </c>
      <c r="H195" s="149">
        <f t="shared" si="12"/>
        <v>77.98</v>
      </c>
      <c r="I195" s="156">
        <f t="shared" si="13"/>
        <v>0.000111341935180803</v>
      </c>
      <c r="J195" s="156">
        <f t="shared" si="14"/>
        <v>0.99744974424409</v>
      </c>
      <c r="K195" s="164"/>
      <c r="Q195">
        <f t="shared" si="10"/>
        <v>710178.09</v>
      </c>
      <c r="R195">
        <f t="shared" si="11"/>
        <v>700365.05</v>
      </c>
    </row>
    <row r="196" spans="3:18">
      <c r="C196" s="147" t="s">
        <v>398</v>
      </c>
      <c r="D196" s="148" t="s">
        <v>400</v>
      </c>
      <c r="E196" s="149" t="s">
        <v>21</v>
      </c>
      <c r="F196" s="149">
        <v>1</v>
      </c>
      <c r="G196" s="149">
        <v>76.9</v>
      </c>
      <c r="H196" s="149">
        <f t="shared" si="12"/>
        <v>76.9</v>
      </c>
      <c r="I196" s="156">
        <f t="shared" si="13"/>
        <v>0.000109799882218566</v>
      </c>
      <c r="J196" s="156">
        <f t="shared" si="14"/>
        <v>0.997559544126309</v>
      </c>
      <c r="K196" s="164"/>
      <c r="Q196">
        <f t="shared" si="10"/>
        <v>710178.09</v>
      </c>
      <c r="R196">
        <f t="shared" si="11"/>
        <v>700365.05</v>
      </c>
    </row>
    <row r="197" spans="3:18">
      <c r="C197" s="147" t="s">
        <v>365</v>
      </c>
      <c r="D197" s="148" t="s">
        <v>756</v>
      </c>
      <c r="E197" s="149" t="s">
        <v>17</v>
      </c>
      <c r="F197" s="149">
        <v>6</v>
      </c>
      <c r="G197" s="149">
        <v>11.79</v>
      </c>
      <c r="H197" s="149">
        <f t="shared" si="12"/>
        <v>70.74</v>
      </c>
      <c r="I197" s="156">
        <f t="shared" si="13"/>
        <v>0.000101004469026546</v>
      </c>
      <c r="J197" s="156">
        <f t="shared" si="14"/>
        <v>0.997660548595336</v>
      </c>
      <c r="K197" s="164"/>
      <c r="Q197">
        <f t="shared" si="10"/>
        <v>710178.09</v>
      </c>
      <c r="R197">
        <f t="shared" si="11"/>
        <v>700365.05</v>
      </c>
    </row>
    <row r="198" spans="3:18">
      <c r="C198" s="147">
        <v>94207</v>
      </c>
      <c r="D198" s="148" t="s">
        <v>732</v>
      </c>
      <c r="E198" s="149" t="s">
        <v>17</v>
      </c>
      <c r="F198" s="149">
        <v>2.25</v>
      </c>
      <c r="G198" s="149">
        <v>30.8</v>
      </c>
      <c r="H198" s="149">
        <f t="shared" si="12"/>
        <v>69.3</v>
      </c>
      <c r="I198" s="156">
        <f t="shared" si="13"/>
        <v>9.89483984102291e-5</v>
      </c>
      <c r="J198" s="156">
        <f t="shared" si="14"/>
        <v>0.997759496993746</v>
      </c>
      <c r="K198" s="164"/>
      <c r="Q198">
        <f t="shared" si="10"/>
        <v>710178.09</v>
      </c>
      <c r="R198">
        <f t="shared" si="11"/>
        <v>700365.05</v>
      </c>
    </row>
    <row r="199" spans="3:18">
      <c r="C199" s="147">
        <v>89362</v>
      </c>
      <c r="D199" s="148" t="s">
        <v>387</v>
      </c>
      <c r="E199" s="149" t="s">
        <v>21</v>
      </c>
      <c r="F199" s="149">
        <v>11</v>
      </c>
      <c r="G199" s="149">
        <v>6.23</v>
      </c>
      <c r="H199" s="149">
        <f t="shared" si="12"/>
        <v>68.53</v>
      </c>
      <c r="I199" s="156">
        <f t="shared" si="13"/>
        <v>9.78489717612265e-5</v>
      </c>
      <c r="J199" s="156">
        <f t="shared" si="14"/>
        <v>0.997857345965507</v>
      </c>
      <c r="K199" s="164"/>
      <c r="Q199">
        <f t="shared" si="10"/>
        <v>710178.09</v>
      </c>
      <c r="R199">
        <f t="shared" si="11"/>
        <v>700365.05</v>
      </c>
    </row>
    <row r="200" ht="45" spans="3:18">
      <c r="C200" s="147">
        <v>91961</v>
      </c>
      <c r="D200" s="148" t="s">
        <v>573</v>
      </c>
      <c r="E200" s="149" t="s">
        <v>21</v>
      </c>
      <c r="F200" s="149">
        <v>2</v>
      </c>
      <c r="G200" s="149">
        <v>34.14</v>
      </c>
      <c r="H200" s="149">
        <f t="shared" si="12"/>
        <v>68.28</v>
      </c>
      <c r="I200" s="156">
        <f t="shared" si="13"/>
        <v>9.74920150570049e-5</v>
      </c>
      <c r="J200" s="156">
        <f t="shared" si="14"/>
        <v>0.997954837980564</v>
      </c>
      <c r="K200" s="164"/>
      <c r="Q200">
        <f t="shared" ref="Q200:Q263" si="15">$Q$7</f>
        <v>710178.09</v>
      </c>
      <c r="R200">
        <f t="shared" ref="R200:R263" si="16">$R$7</f>
        <v>700365.05</v>
      </c>
    </row>
    <row r="201" spans="3:18">
      <c r="C201" s="147">
        <v>73616</v>
      </c>
      <c r="D201" s="148" t="s">
        <v>75</v>
      </c>
      <c r="E201" s="149" t="s">
        <v>56</v>
      </c>
      <c r="F201" s="149">
        <v>0.34</v>
      </c>
      <c r="G201" s="149">
        <v>196.41</v>
      </c>
      <c r="H201" s="149">
        <f t="shared" ref="H201:H245" si="17">ROUND(F201*G201,2)</f>
        <v>66.78</v>
      </c>
      <c r="I201" s="156">
        <f t="shared" si="13"/>
        <v>9.53502748316753e-5</v>
      </c>
      <c r="J201" s="156">
        <f t="shared" si="14"/>
        <v>0.998050188255396</v>
      </c>
      <c r="K201" s="164"/>
      <c r="Q201">
        <f t="shared" si="15"/>
        <v>710178.09</v>
      </c>
      <c r="R201">
        <f t="shared" si="16"/>
        <v>700365.05</v>
      </c>
    </row>
    <row r="202" ht="45" spans="3:18">
      <c r="C202" s="147">
        <v>86910</v>
      </c>
      <c r="D202" s="148" t="s">
        <v>489</v>
      </c>
      <c r="E202" s="149" t="s">
        <v>21</v>
      </c>
      <c r="F202" s="149">
        <v>1</v>
      </c>
      <c r="G202" s="149">
        <v>63.29</v>
      </c>
      <c r="H202" s="149">
        <f t="shared" si="17"/>
        <v>63.29</v>
      </c>
      <c r="I202" s="156">
        <f t="shared" ref="I202:I265" si="18">H202/$R$7</f>
        <v>9.03671592407417e-5</v>
      </c>
      <c r="J202" s="156">
        <f t="shared" si="14"/>
        <v>0.998140555414636</v>
      </c>
      <c r="K202" s="164"/>
      <c r="Q202">
        <f t="shared" si="15"/>
        <v>710178.09</v>
      </c>
      <c r="R202">
        <f t="shared" si="16"/>
        <v>700365.05</v>
      </c>
    </row>
    <row r="203" ht="45" spans="3:18">
      <c r="C203" s="147" t="s">
        <v>977</v>
      </c>
      <c r="D203" s="148" t="s">
        <v>676</v>
      </c>
      <c r="E203" s="149" t="s">
        <v>120</v>
      </c>
      <c r="F203" s="149">
        <v>6</v>
      </c>
      <c r="G203" s="149">
        <v>10.47</v>
      </c>
      <c r="H203" s="149">
        <f t="shared" si="17"/>
        <v>62.82</v>
      </c>
      <c r="I203" s="156">
        <f t="shared" si="18"/>
        <v>8.96960806368051e-5</v>
      </c>
      <c r="J203" s="156">
        <f t="shared" ref="J203:J266" si="19">I203+J202</f>
        <v>0.998230251495273</v>
      </c>
      <c r="K203" s="164"/>
      <c r="Q203">
        <f t="shared" si="15"/>
        <v>710178.09</v>
      </c>
      <c r="R203">
        <f t="shared" si="16"/>
        <v>700365.05</v>
      </c>
    </row>
    <row r="204" ht="30" spans="3:18">
      <c r="C204" s="147">
        <v>93653</v>
      </c>
      <c r="D204" s="148" t="s">
        <v>637</v>
      </c>
      <c r="E204" s="149" t="s">
        <v>21</v>
      </c>
      <c r="F204" s="149">
        <v>8</v>
      </c>
      <c r="G204" s="149">
        <v>7.8</v>
      </c>
      <c r="H204" s="149">
        <f t="shared" si="17"/>
        <v>62.4</v>
      </c>
      <c r="I204" s="156">
        <f t="shared" si="18"/>
        <v>8.90963933737128e-5</v>
      </c>
      <c r="J204" s="156">
        <f t="shared" si="19"/>
        <v>0.998319347888647</v>
      </c>
      <c r="K204" s="164"/>
      <c r="Q204">
        <f t="shared" si="15"/>
        <v>710178.09</v>
      </c>
      <c r="R204">
        <f t="shared" si="16"/>
        <v>700365.05</v>
      </c>
    </row>
    <row r="205" spans="3:18">
      <c r="C205" s="147" t="s">
        <v>460</v>
      </c>
      <c r="D205" s="148" t="s">
        <v>462</v>
      </c>
      <c r="E205" s="149" t="s">
        <v>21</v>
      </c>
      <c r="F205" s="149">
        <v>7</v>
      </c>
      <c r="G205" s="149">
        <v>8.72</v>
      </c>
      <c r="H205" s="149">
        <f t="shared" si="17"/>
        <v>61.04</v>
      </c>
      <c r="I205" s="156">
        <f t="shared" si="18"/>
        <v>8.71545489027472e-5</v>
      </c>
      <c r="J205" s="156">
        <f t="shared" si="19"/>
        <v>0.99840650243755</v>
      </c>
      <c r="K205" s="164"/>
      <c r="Q205">
        <f t="shared" si="15"/>
        <v>710178.09</v>
      </c>
      <c r="R205">
        <f t="shared" si="16"/>
        <v>700365.05</v>
      </c>
    </row>
    <row r="206" spans="3:18">
      <c r="C206" s="147" t="s">
        <v>441</v>
      </c>
      <c r="D206" s="148" t="s">
        <v>443</v>
      </c>
      <c r="E206" s="149" t="s">
        <v>21</v>
      </c>
      <c r="F206" s="149">
        <v>2</v>
      </c>
      <c r="G206" s="149">
        <v>28.56</v>
      </c>
      <c r="H206" s="149">
        <f t="shared" si="17"/>
        <v>57.12</v>
      </c>
      <c r="I206" s="156">
        <f t="shared" si="18"/>
        <v>8.15574677805524e-5</v>
      </c>
      <c r="J206" s="156">
        <f t="shared" si="19"/>
        <v>0.99848805990533</v>
      </c>
      <c r="K206" s="164"/>
      <c r="Q206">
        <f t="shared" si="15"/>
        <v>710178.09</v>
      </c>
      <c r="R206">
        <f t="shared" si="16"/>
        <v>700365.05</v>
      </c>
    </row>
    <row r="207" ht="60" spans="3:18">
      <c r="C207" s="147" t="s">
        <v>996</v>
      </c>
      <c r="D207" s="148" t="s">
        <v>696</v>
      </c>
      <c r="E207" s="149" t="s">
        <v>120</v>
      </c>
      <c r="F207" s="149">
        <v>3</v>
      </c>
      <c r="G207" s="149">
        <v>18.59</v>
      </c>
      <c r="H207" s="149">
        <f t="shared" si="17"/>
        <v>55.77</v>
      </c>
      <c r="I207" s="156">
        <f t="shared" si="18"/>
        <v>7.96299015777558e-5</v>
      </c>
      <c r="J207" s="156">
        <f t="shared" si="19"/>
        <v>0.998567689806908</v>
      </c>
      <c r="K207" s="164"/>
      <c r="Q207">
        <f t="shared" si="15"/>
        <v>710178.09</v>
      </c>
      <c r="R207">
        <f t="shared" si="16"/>
        <v>700365.05</v>
      </c>
    </row>
    <row r="208" spans="3:18">
      <c r="C208" s="147">
        <v>11708</v>
      </c>
      <c r="D208" s="148" t="s">
        <v>511</v>
      </c>
      <c r="E208" s="149" t="s">
        <v>21</v>
      </c>
      <c r="F208" s="149">
        <v>4</v>
      </c>
      <c r="G208" s="149">
        <v>13</v>
      </c>
      <c r="H208" s="149">
        <f t="shared" si="17"/>
        <v>52</v>
      </c>
      <c r="I208" s="156">
        <f t="shared" si="18"/>
        <v>7.4246994478094e-5</v>
      </c>
      <c r="J208" s="156">
        <f t="shared" si="19"/>
        <v>0.998641936801386</v>
      </c>
      <c r="K208" s="164"/>
      <c r="Q208">
        <f t="shared" si="15"/>
        <v>710178.09</v>
      </c>
      <c r="R208">
        <f t="shared" si="16"/>
        <v>700365.05</v>
      </c>
    </row>
    <row r="209" ht="30" spans="3:18">
      <c r="C209" s="147">
        <v>93654</v>
      </c>
      <c r="D209" s="148" t="s">
        <v>639</v>
      </c>
      <c r="E209" s="149" t="s">
        <v>21</v>
      </c>
      <c r="F209" s="149">
        <v>6</v>
      </c>
      <c r="G209" s="149">
        <v>8.25</v>
      </c>
      <c r="H209" s="149">
        <f t="shared" si="17"/>
        <v>49.5</v>
      </c>
      <c r="I209" s="156">
        <f t="shared" si="18"/>
        <v>7.06774274358779e-5</v>
      </c>
      <c r="J209" s="156">
        <f t="shared" si="19"/>
        <v>0.998712614228822</v>
      </c>
      <c r="K209" s="164"/>
      <c r="Q209">
        <f t="shared" si="15"/>
        <v>710178.09</v>
      </c>
      <c r="R209">
        <f t="shared" si="16"/>
        <v>700365.05</v>
      </c>
    </row>
    <row r="210" ht="45" spans="3:18">
      <c r="C210" s="147">
        <v>84665</v>
      </c>
      <c r="D210" s="148" t="s">
        <v>530</v>
      </c>
      <c r="E210" s="149" t="s">
        <v>17</v>
      </c>
      <c r="F210" s="149">
        <v>3</v>
      </c>
      <c r="G210" s="149">
        <v>16.36</v>
      </c>
      <c r="H210" s="149">
        <f t="shared" si="17"/>
        <v>49.08</v>
      </c>
      <c r="I210" s="156">
        <f t="shared" si="18"/>
        <v>7.00777401727856e-5</v>
      </c>
      <c r="J210" s="156">
        <f t="shared" si="19"/>
        <v>0.998782691968995</v>
      </c>
      <c r="K210" s="164"/>
      <c r="Q210">
        <f t="shared" si="15"/>
        <v>710178.09</v>
      </c>
      <c r="R210">
        <f t="shared" si="16"/>
        <v>700365.05</v>
      </c>
    </row>
    <row r="211" ht="45" spans="3:18">
      <c r="C211" s="147" t="s">
        <v>983</v>
      </c>
      <c r="D211" s="148" t="s">
        <v>682</v>
      </c>
      <c r="E211" s="149" t="s">
        <v>21</v>
      </c>
      <c r="F211" s="149">
        <v>2</v>
      </c>
      <c r="G211" s="149">
        <v>24.45</v>
      </c>
      <c r="H211" s="149">
        <f t="shared" si="17"/>
        <v>48.9</v>
      </c>
      <c r="I211" s="156">
        <f t="shared" si="18"/>
        <v>6.98207313457461e-5</v>
      </c>
      <c r="J211" s="156">
        <f t="shared" si="19"/>
        <v>0.99885251270034</v>
      </c>
      <c r="K211" s="164"/>
      <c r="Q211">
        <f t="shared" si="15"/>
        <v>710178.09</v>
      </c>
      <c r="R211">
        <f t="shared" si="16"/>
        <v>700365.05</v>
      </c>
    </row>
    <row r="212" ht="45" spans="3:18">
      <c r="C212" s="147" t="s">
        <v>954</v>
      </c>
      <c r="D212" s="148" t="s">
        <v>663</v>
      </c>
      <c r="E212" s="149" t="s">
        <v>21</v>
      </c>
      <c r="F212" s="149">
        <v>2</v>
      </c>
      <c r="G212" s="149">
        <v>23.48</v>
      </c>
      <c r="H212" s="149">
        <f t="shared" si="17"/>
        <v>46.96</v>
      </c>
      <c r="I212" s="156">
        <f t="shared" si="18"/>
        <v>6.70507473209864e-5</v>
      </c>
      <c r="J212" s="156">
        <f t="shared" si="19"/>
        <v>0.998919563447661</v>
      </c>
      <c r="K212" s="164"/>
      <c r="Q212">
        <f t="shared" si="15"/>
        <v>710178.09</v>
      </c>
      <c r="R212">
        <f t="shared" si="16"/>
        <v>700365.05</v>
      </c>
    </row>
    <row r="213" ht="45" spans="3:18">
      <c r="C213" s="147" t="s">
        <v>965</v>
      </c>
      <c r="D213" s="148" t="s">
        <v>671</v>
      </c>
      <c r="E213" s="149" t="s">
        <v>21</v>
      </c>
      <c r="F213" s="149">
        <v>2</v>
      </c>
      <c r="G213" s="149">
        <v>21.38</v>
      </c>
      <c r="H213" s="149">
        <f t="shared" si="17"/>
        <v>42.76</v>
      </c>
      <c r="I213" s="156">
        <f t="shared" si="18"/>
        <v>6.10538746900634e-5</v>
      </c>
      <c r="J213" s="156">
        <f t="shared" si="19"/>
        <v>0.998980617322351</v>
      </c>
      <c r="K213" s="164"/>
      <c r="Q213">
        <f t="shared" si="15"/>
        <v>710178.09</v>
      </c>
      <c r="R213">
        <f t="shared" si="16"/>
        <v>700365.05</v>
      </c>
    </row>
    <row r="214" ht="45" spans="3:18">
      <c r="C214" s="147">
        <v>91955</v>
      </c>
      <c r="D214" s="148" t="s">
        <v>571</v>
      </c>
      <c r="E214" s="149" t="s">
        <v>21</v>
      </c>
      <c r="F214" s="149">
        <v>2</v>
      </c>
      <c r="G214" s="149">
        <v>20.54</v>
      </c>
      <c r="H214" s="149">
        <f t="shared" si="17"/>
        <v>41.08</v>
      </c>
      <c r="I214" s="156">
        <f t="shared" si="18"/>
        <v>5.86551256376942e-5</v>
      </c>
      <c r="J214" s="156">
        <f t="shared" si="19"/>
        <v>0.999039272447989</v>
      </c>
      <c r="K214" s="164"/>
      <c r="Q214">
        <f t="shared" si="15"/>
        <v>710178.09</v>
      </c>
      <c r="R214">
        <f t="shared" si="16"/>
        <v>700365.05</v>
      </c>
    </row>
    <row r="215" ht="45" spans="3:18">
      <c r="C215" s="147">
        <v>91996</v>
      </c>
      <c r="D215" s="148" t="s">
        <v>559</v>
      </c>
      <c r="E215" s="149" t="s">
        <v>21</v>
      </c>
      <c r="F215" s="149">
        <v>2</v>
      </c>
      <c r="G215" s="149">
        <v>19.91</v>
      </c>
      <c r="H215" s="149">
        <f t="shared" si="17"/>
        <v>39.82</v>
      </c>
      <c r="I215" s="156">
        <f t="shared" si="18"/>
        <v>5.68560638484173e-5</v>
      </c>
      <c r="J215" s="156">
        <f t="shared" si="19"/>
        <v>0.999096128511838</v>
      </c>
      <c r="K215" s="164"/>
      <c r="Q215">
        <f t="shared" si="15"/>
        <v>710178.09</v>
      </c>
      <c r="R215">
        <f t="shared" si="16"/>
        <v>700365.05</v>
      </c>
    </row>
    <row r="216" ht="45" spans="3:18">
      <c r="C216" s="147">
        <v>91836</v>
      </c>
      <c r="D216" s="148" t="s">
        <v>590</v>
      </c>
      <c r="E216" s="149" t="s">
        <v>120</v>
      </c>
      <c r="F216" s="149">
        <v>5.2</v>
      </c>
      <c r="G216" s="149">
        <v>7.4</v>
      </c>
      <c r="H216" s="149">
        <f t="shared" si="17"/>
        <v>38.48</v>
      </c>
      <c r="I216" s="156">
        <f t="shared" si="18"/>
        <v>5.49427759137895e-5</v>
      </c>
      <c r="J216" s="156">
        <f t="shared" si="19"/>
        <v>0.999151071287751</v>
      </c>
      <c r="K216" s="164"/>
      <c r="Q216">
        <f t="shared" si="15"/>
        <v>710178.09</v>
      </c>
      <c r="R216">
        <f t="shared" si="16"/>
        <v>700365.05</v>
      </c>
    </row>
    <row r="217" spans="3:18">
      <c r="C217" s="147" t="s">
        <v>432</v>
      </c>
      <c r="D217" s="148" t="s">
        <v>434</v>
      </c>
      <c r="E217" s="149" t="s">
        <v>21</v>
      </c>
      <c r="F217" s="149">
        <v>4</v>
      </c>
      <c r="G217" s="149">
        <v>9.56</v>
      </c>
      <c r="H217" s="149">
        <f t="shared" si="17"/>
        <v>38.24</v>
      </c>
      <c r="I217" s="156">
        <f t="shared" si="18"/>
        <v>5.46000974777368e-5</v>
      </c>
      <c r="J217" s="156">
        <f t="shared" si="19"/>
        <v>0.999205671385229</v>
      </c>
      <c r="K217" s="164"/>
      <c r="Q217">
        <f t="shared" si="15"/>
        <v>710178.09</v>
      </c>
      <c r="R217">
        <f t="shared" si="16"/>
        <v>700365.05</v>
      </c>
    </row>
    <row r="218" ht="30" spans="3:18">
      <c r="C218" s="147" t="s">
        <v>531</v>
      </c>
      <c r="D218" s="148" t="s">
        <v>533</v>
      </c>
      <c r="E218" s="149" t="s">
        <v>21</v>
      </c>
      <c r="F218" s="149">
        <v>3</v>
      </c>
      <c r="G218" s="149">
        <v>11.95</v>
      </c>
      <c r="H218" s="149">
        <f t="shared" si="17"/>
        <v>35.85</v>
      </c>
      <c r="I218" s="156">
        <f t="shared" si="18"/>
        <v>5.11875913853782e-5</v>
      </c>
      <c r="J218" s="156">
        <f t="shared" si="19"/>
        <v>0.999256858976614</v>
      </c>
      <c r="K218" s="164"/>
      <c r="Q218">
        <f t="shared" si="15"/>
        <v>710178.09</v>
      </c>
      <c r="R218">
        <f t="shared" si="16"/>
        <v>700365.05</v>
      </c>
    </row>
    <row r="219" ht="45" spans="3:18">
      <c r="C219" s="147">
        <v>91967</v>
      </c>
      <c r="D219" s="148" t="s">
        <v>569</v>
      </c>
      <c r="E219" s="149" t="s">
        <v>21</v>
      </c>
      <c r="F219" s="149">
        <v>1</v>
      </c>
      <c r="G219" s="149">
        <v>35.67</v>
      </c>
      <c r="H219" s="149">
        <f t="shared" si="17"/>
        <v>35.67</v>
      </c>
      <c r="I219" s="156">
        <f t="shared" si="18"/>
        <v>5.09305825583387e-5</v>
      </c>
      <c r="J219" s="156">
        <f t="shared" si="19"/>
        <v>0.999307789559173</v>
      </c>
      <c r="K219" s="164"/>
      <c r="Q219">
        <f t="shared" si="15"/>
        <v>710178.09</v>
      </c>
      <c r="R219">
        <f t="shared" si="16"/>
        <v>700365.05</v>
      </c>
    </row>
    <row r="220" spans="3:18">
      <c r="C220" s="147">
        <v>89395</v>
      </c>
      <c r="D220" s="148" t="s">
        <v>389</v>
      </c>
      <c r="E220" s="149" t="s">
        <v>21</v>
      </c>
      <c r="F220" s="149">
        <v>4</v>
      </c>
      <c r="G220" s="149">
        <v>8.62</v>
      </c>
      <c r="H220" s="149">
        <f t="shared" si="17"/>
        <v>34.48</v>
      </c>
      <c r="I220" s="156">
        <f t="shared" si="18"/>
        <v>4.92314686462438e-5</v>
      </c>
      <c r="J220" s="156">
        <f t="shared" si="19"/>
        <v>0.999357021027819</v>
      </c>
      <c r="K220" s="164"/>
      <c r="Q220">
        <f t="shared" si="15"/>
        <v>710178.09</v>
      </c>
      <c r="R220">
        <f t="shared" si="16"/>
        <v>700365.05</v>
      </c>
    </row>
    <row r="221" ht="30" spans="3:18">
      <c r="C221" s="147" t="s">
        <v>991</v>
      </c>
      <c r="D221" s="148" t="s">
        <v>688</v>
      </c>
      <c r="E221" s="149" t="s">
        <v>21</v>
      </c>
      <c r="F221" s="149">
        <v>5</v>
      </c>
      <c r="G221" s="149">
        <v>6.6</v>
      </c>
      <c r="H221" s="149">
        <f t="shared" si="17"/>
        <v>33</v>
      </c>
      <c r="I221" s="156">
        <f t="shared" si="18"/>
        <v>4.71182849572519e-5</v>
      </c>
      <c r="J221" s="156">
        <f t="shared" si="19"/>
        <v>0.999404139312776</v>
      </c>
      <c r="K221" s="164"/>
      <c r="Q221">
        <f t="shared" si="15"/>
        <v>710178.09</v>
      </c>
      <c r="R221">
        <f t="shared" si="16"/>
        <v>700365.05</v>
      </c>
    </row>
    <row r="222" ht="30" spans="3:18">
      <c r="C222" s="147">
        <v>85333</v>
      </c>
      <c r="D222" s="148" t="s">
        <v>58</v>
      </c>
      <c r="E222" s="149" t="s">
        <v>21</v>
      </c>
      <c r="F222" s="149">
        <v>2</v>
      </c>
      <c r="G222" s="149">
        <v>16.08</v>
      </c>
      <c r="H222" s="149">
        <f t="shared" si="17"/>
        <v>32.16</v>
      </c>
      <c r="I222" s="156">
        <f t="shared" si="18"/>
        <v>4.59189104310673e-5</v>
      </c>
      <c r="J222" s="156">
        <f t="shared" si="19"/>
        <v>0.999450058223207</v>
      </c>
      <c r="K222" s="164"/>
      <c r="Q222">
        <f t="shared" si="15"/>
        <v>710178.09</v>
      </c>
      <c r="R222">
        <f t="shared" si="16"/>
        <v>700365.05</v>
      </c>
    </row>
    <row r="223" ht="30" spans="3:18">
      <c r="C223" s="147" t="s">
        <v>979</v>
      </c>
      <c r="D223" s="148" t="s">
        <v>678</v>
      </c>
      <c r="E223" s="149" t="s">
        <v>21</v>
      </c>
      <c r="F223" s="149">
        <v>1</v>
      </c>
      <c r="G223" s="149">
        <v>31.08</v>
      </c>
      <c r="H223" s="149">
        <f t="shared" si="17"/>
        <v>31.08</v>
      </c>
      <c r="I223" s="156">
        <f t="shared" si="18"/>
        <v>4.437685746883e-5</v>
      </c>
      <c r="J223" s="156">
        <f t="shared" si="19"/>
        <v>0.999494435080676</v>
      </c>
      <c r="K223" s="164"/>
      <c r="Q223">
        <f t="shared" si="15"/>
        <v>710178.09</v>
      </c>
      <c r="R223">
        <f t="shared" si="16"/>
        <v>700365.05</v>
      </c>
    </row>
    <row r="224" spans="3:18">
      <c r="C224" s="147" t="s">
        <v>426</v>
      </c>
      <c r="D224" s="148" t="s">
        <v>428</v>
      </c>
      <c r="E224" s="149" t="s">
        <v>21</v>
      </c>
      <c r="F224" s="149">
        <v>2</v>
      </c>
      <c r="G224" s="149">
        <v>13.52</v>
      </c>
      <c r="H224" s="149">
        <f t="shared" si="17"/>
        <v>27.04</v>
      </c>
      <c r="I224" s="156">
        <f t="shared" si="18"/>
        <v>3.86084371286089e-5</v>
      </c>
      <c r="J224" s="156">
        <f t="shared" si="19"/>
        <v>0.999533043517805</v>
      </c>
      <c r="K224" s="164"/>
      <c r="Q224">
        <f t="shared" si="15"/>
        <v>710178.09</v>
      </c>
      <c r="R224">
        <f t="shared" si="16"/>
        <v>700365.05</v>
      </c>
    </row>
    <row r="225" ht="45" spans="3:18">
      <c r="C225" s="147" t="s">
        <v>986</v>
      </c>
      <c r="D225" s="148" t="s">
        <v>684</v>
      </c>
      <c r="E225" s="149" t="s">
        <v>21</v>
      </c>
      <c r="F225" s="149">
        <v>1</v>
      </c>
      <c r="G225" s="149">
        <v>27.03</v>
      </c>
      <c r="H225" s="149">
        <f t="shared" si="17"/>
        <v>27.03</v>
      </c>
      <c r="I225" s="156">
        <f t="shared" si="18"/>
        <v>3.859415886044e-5</v>
      </c>
      <c r="J225" s="156">
        <f t="shared" si="19"/>
        <v>0.999571637676665</v>
      </c>
      <c r="K225" s="164"/>
      <c r="Q225">
        <f t="shared" si="15"/>
        <v>710178.09</v>
      </c>
      <c r="R225">
        <f t="shared" si="16"/>
        <v>700365.05</v>
      </c>
    </row>
    <row r="226" ht="30" spans="3:18">
      <c r="C226" s="147">
        <v>93655</v>
      </c>
      <c r="D226" s="148" t="s">
        <v>641</v>
      </c>
      <c r="E226" s="149" t="s">
        <v>21</v>
      </c>
      <c r="F226" s="149">
        <v>3</v>
      </c>
      <c r="G226" s="149">
        <v>8.96</v>
      </c>
      <c r="H226" s="149">
        <f t="shared" si="17"/>
        <v>26.88</v>
      </c>
      <c r="I226" s="156">
        <f t="shared" si="18"/>
        <v>3.8379984837907e-5</v>
      </c>
      <c r="J226" s="156">
        <f t="shared" si="19"/>
        <v>0.999610017661503</v>
      </c>
      <c r="K226" s="164"/>
      <c r="Q226">
        <f t="shared" si="15"/>
        <v>710178.09</v>
      </c>
      <c r="R226">
        <f t="shared" si="16"/>
        <v>700365.05</v>
      </c>
    </row>
    <row r="227" spans="3:18">
      <c r="C227" s="147" t="s">
        <v>450</v>
      </c>
      <c r="D227" s="148" t="s">
        <v>452</v>
      </c>
      <c r="E227" s="149" t="s">
        <v>21</v>
      </c>
      <c r="F227" s="149">
        <v>5</v>
      </c>
      <c r="G227" s="149">
        <v>5.14</v>
      </c>
      <c r="H227" s="149">
        <f t="shared" si="17"/>
        <v>25.7</v>
      </c>
      <c r="I227" s="156">
        <f t="shared" si="18"/>
        <v>3.66951491939811e-5</v>
      </c>
      <c r="J227" s="156">
        <f t="shared" si="19"/>
        <v>0.999646712810697</v>
      </c>
      <c r="K227" s="164"/>
      <c r="Q227">
        <f t="shared" si="15"/>
        <v>710178.09</v>
      </c>
      <c r="R227">
        <f t="shared" si="16"/>
        <v>700365.05</v>
      </c>
    </row>
    <row r="228" ht="30" spans="3:18">
      <c r="C228" s="147" t="s">
        <v>61</v>
      </c>
      <c r="D228" s="148" t="s">
        <v>63</v>
      </c>
      <c r="E228" s="149" t="s">
        <v>21</v>
      </c>
      <c r="F228" s="149">
        <v>2</v>
      </c>
      <c r="G228" s="149">
        <v>12.09</v>
      </c>
      <c r="H228" s="149">
        <f t="shared" si="17"/>
        <v>24.18</v>
      </c>
      <c r="I228" s="156">
        <f t="shared" si="18"/>
        <v>3.45248524323137e-5</v>
      </c>
      <c r="J228" s="156">
        <f t="shared" si="19"/>
        <v>0.999681237663129</v>
      </c>
      <c r="K228" s="164"/>
      <c r="Q228">
        <f t="shared" si="15"/>
        <v>710178.09</v>
      </c>
      <c r="R228">
        <f t="shared" si="16"/>
        <v>700365.05</v>
      </c>
    </row>
    <row r="229" spans="3:18">
      <c r="C229" s="147">
        <v>89398</v>
      </c>
      <c r="D229" s="148" t="s">
        <v>391</v>
      </c>
      <c r="E229" s="149" t="s">
        <v>21</v>
      </c>
      <c r="F229" s="149">
        <v>2</v>
      </c>
      <c r="G229" s="149">
        <v>11.46</v>
      </c>
      <c r="H229" s="149">
        <f t="shared" si="17"/>
        <v>22.92</v>
      </c>
      <c r="I229" s="156">
        <f t="shared" si="18"/>
        <v>3.27257906430368e-5</v>
      </c>
      <c r="J229" s="156">
        <f t="shared" si="19"/>
        <v>0.999713963453773</v>
      </c>
      <c r="K229" s="164"/>
      <c r="Q229">
        <f t="shared" si="15"/>
        <v>710178.09</v>
      </c>
      <c r="R229">
        <f t="shared" si="16"/>
        <v>700365.05</v>
      </c>
    </row>
    <row r="230" ht="45" spans="3:18">
      <c r="C230" s="147">
        <v>91997</v>
      </c>
      <c r="D230" s="148" t="s">
        <v>561</v>
      </c>
      <c r="E230" s="149" t="s">
        <v>21</v>
      </c>
      <c r="F230" s="149">
        <v>1</v>
      </c>
      <c r="G230" s="149">
        <v>21.13</v>
      </c>
      <c r="H230" s="149">
        <f t="shared" si="17"/>
        <v>21.13</v>
      </c>
      <c r="I230" s="156">
        <f t="shared" si="18"/>
        <v>3.01699806408101e-5</v>
      </c>
      <c r="J230" s="156">
        <f t="shared" si="19"/>
        <v>0.999744133434413</v>
      </c>
      <c r="K230" s="164"/>
      <c r="Q230">
        <f t="shared" si="15"/>
        <v>710178.09</v>
      </c>
      <c r="R230">
        <f t="shared" si="16"/>
        <v>700365.05</v>
      </c>
    </row>
    <row r="231" spans="3:18">
      <c r="C231" s="147">
        <v>92544</v>
      </c>
      <c r="D231" s="148" t="s">
        <v>730</v>
      </c>
      <c r="E231" s="149" t="s">
        <v>17</v>
      </c>
      <c r="F231" s="149">
        <v>2.25</v>
      </c>
      <c r="G231" s="149">
        <v>9.38</v>
      </c>
      <c r="H231" s="149">
        <f t="shared" si="17"/>
        <v>21.11</v>
      </c>
      <c r="I231" s="156">
        <f t="shared" si="18"/>
        <v>3.01414241044724e-5</v>
      </c>
      <c r="J231" s="156">
        <f t="shared" si="19"/>
        <v>0.999774274858518</v>
      </c>
      <c r="K231" s="164"/>
      <c r="Q231">
        <f t="shared" si="15"/>
        <v>710178.09</v>
      </c>
      <c r="R231">
        <f t="shared" si="16"/>
        <v>700365.05</v>
      </c>
    </row>
    <row r="232" ht="30" spans="3:18">
      <c r="C232" s="147">
        <v>94795</v>
      </c>
      <c r="D232" s="148" t="s">
        <v>396</v>
      </c>
      <c r="E232" s="149" t="s">
        <v>21</v>
      </c>
      <c r="F232" s="149">
        <v>1</v>
      </c>
      <c r="G232" s="149">
        <v>21.1</v>
      </c>
      <c r="H232" s="149">
        <f t="shared" si="17"/>
        <v>21.1</v>
      </c>
      <c r="I232" s="156">
        <f t="shared" si="18"/>
        <v>3.01271458363035e-5</v>
      </c>
      <c r="J232" s="156">
        <f t="shared" si="19"/>
        <v>0.999804402004354</v>
      </c>
      <c r="K232" s="164"/>
      <c r="Q232">
        <f t="shared" si="15"/>
        <v>710178.09</v>
      </c>
      <c r="R232">
        <f t="shared" si="16"/>
        <v>700365.05</v>
      </c>
    </row>
    <row r="233" ht="30" spans="3:18">
      <c r="C233" s="147" t="s">
        <v>1010</v>
      </c>
      <c r="D233" s="148" t="s">
        <v>743</v>
      </c>
      <c r="E233" s="149" t="s">
        <v>21</v>
      </c>
      <c r="F233" s="149">
        <v>1</v>
      </c>
      <c r="G233" s="149">
        <v>19.44</v>
      </c>
      <c r="H233" s="149">
        <f t="shared" si="17"/>
        <v>19.44</v>
      </c>
      <c r="I233" s="156">
        <f t="shared" si="18"/>
        <v>2.77569533202721e-5</v>
      </c>
      <c r="J233" s="156">
        <f t="shared" si="19"/>
        <v>0.999832158957674</v>
      </c>
      <c r="K233" s="164"/>
      <c r="Q233">
        <f t="shared" si="15"/>
        <v>710178.09</v>
      </c>
      <c r="R233">
        <f t="shared" si="16"/>
        <v>700365.05</v>
      </c>
    </row>
    <row r="234" ht="30" spans="3:18">
      <c r="C234" s="147" t="s">
        <v>1007</v>
      </c>
      <c r="D234" s="148" t="s">
        <v>741</v>
      </c>
      <c r="E234" s="149" t="s">
        <v>21</v>
      </c>
      <c r="F234" s="149">
        <v>1</v>
      </c>
      <c r="G234" s="149">
        <v>19.31</v>
      </c>
      <c r="H234" s="149">
        <f t="shared" si="17"/>
        <v>19.31</v>
      </c>
      <c r="I234" s="156">
        <f t="shared" si="18"/>
        <v>2.75713358340768e-5</v>
      </c>
      <c r="J234" s="156">
        <f t="shared" si="19"/>
        <v>0.999859730293508</v>
      </c>
      <c r="K234" s="164"/>
      <c r="Q234">
        <f t="shared" si="15"/>
        <v>710178.09</v>
      </c>
      <c r="R234">
        <f t="shared" si="16"/>
        <v>700365.05</v>
      </c>
    </row>
    <row r="235" ht="30" spans="3:18">
      <c r="C235" s="147" t="s">
        <v>989</v>
      </c>
      <c r="D235" s="148" t="s">
        <v>686</v>
      </c>
      <c r="E235" s="149" t="s">
        <v>21</v>
      </c>
      <c r="F235" s="149">
        <v>1</v>
      </c>
      <c r="G235" s="149">
        <v>18.72</v>
      </c>
      <c r="H235" s="149">
        <f t="shared" si="17"/>
        <v>18.72</v>
      </c>
      <c r="I235" s="156">
        <f t="shared" si="18"/>
        <v>2.67289180121138e-5</v>
      </c>
      <c r="J235" s="156">
        <f t="shared" si="19"/>
        <v>0.999886459211521</v>
      </c>
      <c r="K235" s="164"/>
      <c r="Q235">
        <f t="shared" si="15"/>
        <v>710178.09</v>
      </c>
      <c r="R235">
        <f t="shared" si="16"/>
        <v>700365.05</v>
      </c>
    </row>
    <row r="236" spans="3:18">
      <c r="C236" s="147">
        <v>366</v>
      </c>
      <c r="D236" s="148" t="s">
        <v>500</v>
      </c>
      <c r="E236" s="149" t="s">
        <v>56</v>
      </c>
      <c r="F236" s="149">
        <v>0.49</v>
      </c>
      <c r="G236" s="149">
        <v>37.17</v>
      </c>
      <c r="H236" s="149">
        <f t="shared" si="17"/>
        <v>18.21</v>
      </c>
      <c r="I236" s="156">
        <f t="shared" si="18"/>
        <v>2.60007263355018e-5</v>
      </c>
      <c r="J236" s="156">
        <f t="shared" si="19"/>
        <v>0.999912459937856</v>
      </c>
      <c r="K236" s="164"/>
      <c r="Q236">
        <f t="shared" si="15"/>
        <v>710178.09</v>
      </c>
      <c r="R236">
        <f t="shared" si="16"/>
        <v>700365.05</v>
      </c>
    </row>
    <row r="237" spans="3:18">
      <c r="C237" s="147" t="s">
        <v>429</v>
      </c>
      <c r="D237" s="148" t="s">
        <v>431</v>
      </c>
      <c r="E237" s="149" t="s">
        <v>21</v>
      </c>
      <c r="F237" s="149">
        <v>1</v>
      </c>
      <c r="G237" s="149">
        <v>11.62</v>
      </c>
      <c r="H237" s="149">
        <f t="shared" si="17"/>
        <v>11.62</v>
      </c>
      <c r="I237" s="156">
        <f t="shared" si="18"/>
        <v>1.65913476122202e-5</v>
      </c>
      <c r="J237" s="156">
        <f t="shared" si="19"/>
        <v>0.999929051285468</v>
      </c>
      <c r="K237" s="164"/>
      <c r="Q237">
        <f t="shared" si="15"/>
        <v>710178.09</v>
      </c>
      <c r="R237">
        <f t="shared" si="16"/>
        <v>700365.05</v>
      </c>
    </row>
    <row r="238" spans="3:18">
      <c r="C238" s="147" t="s">
        <v>444</v>
      </c>
      <c r="D238" s="148" t="s">
        <v>446</v>
      </c>
      <c r="E238" s="149" t="s">
        <v>21</v>
      </c>
      <c r="F238" s="149">
        <v>9</v>
      </c>
      <c r="G238" s="149">
        <v>1.13</v>
      </c>
      <c r="H238" s="149">
        <f t="shared" si="17"/>
        <v>10.17</v>
      </c>
      <c r="I238" s="156">
        <f t="shared" si="18"/>
        <v>1.45209987277349e-5</v>
      </c>
      <c r="J238" s="156">
        <f t="shared" si="19"/>
        <v>0.999943572284196</v>
      </c>
      <c r="K238" s="164"/>
      <c r="Q238">
        <f t="shared" si="15"/>
        <v>710178.09</v>
      </c>
      <c r="R238">
        <f t="shared" si="16"/>
        <v>700365.05</v>
      </c>
    </row>
    <row r="239" spans="3:18">
      <c r="C239" s="147" t="s">
        <v>457</v>
      </c>
      <c r="D239" s="148" t="s">
        <v>459</v>
      </c>
      <c r="E239" s="149" t="s">
        <v>21</v>
      </c>
      <c r="F239" s="149">
        <v>6</v>
      </c>
      <c r="G239" s="149">
        <v>1.54</v>
      </c>
      <c r="H239" s="149">
        <f t="shared" si="17"/>
        <v>9.24</v>
      </c>
      <c r="I239" s="156">
        <f t="shared" si="18"/>
        <v>1.31931197880305e-5</v>
      </c>
      <c r="J239" s="156">
        <f t="shared" si="19"/>
        <v>0.999956765403984</v>
      </c>
      <c r="K239" s="164"/>
      <c r="Q239">
        <f t="shared" si="15"/>
        <v>710178.09</v>
      </c>
      <c r="R239">
        <f t="shared" si="16"/>
        <v>700365.05</v>
      </c>
    </row>
    <row r="240" spans="3:18">
      <c r="C240" s="147" t="s">
        <v>447</v>
      </c>
      <c r="D240" s="148" t="s">
        <v>449</v>
      </c>
      <c r="E240" s="149" t="s">
        <v>21</v>
      </c>
      <c r="F240" s="149">
        <v>2</v>
      </c>
      <c r="G240" s="149">
        <v>3.91</v>
      </c>
      <c r="H240" s="149">
        <f t="shared" si="17"/>
        <v>7.82</v>
      </c>
      <c r="I240" s="156">
        <f t="shared" si="18"/>
        <v>1.11656057080518e-5</v>
      </c>
      <c r="J240" s="156">
        <f t="shared" si="19"/>
        <v>0.999967931009692</v>
      </c>
      <c r="K240" s="164"/>
      <c r="Q240">
        <f t="shared" si="15"/>
        <v>710178.09</v>
      </c>
      <c r="R240">
        <f t="shared" si="16"/>
        <v>700365.05</v>
      </c>
    </row>
    <row r="241" spans="3:18">
      <c r="C241" s="147" t="s">
        <v>438</v>
      </c>
      <c r="D241" s="148" t="s">
        <v>440</v>
      </c>
      <c r="E241" s="149" t="s">
        <v>21</v>
      </c>
      <c r="F241" s="149">
        <v>1</v>
      </c>
      <c r="G241" s="149">
        <v>7.23</v>
      </c>
      <c r="H241" s="149">
        <f t="shared" si="17"/>
        <v>7.23</v>
      </c>
      <c r="I241" s="156">
        <f t="shared" si="18"/>
        <v>1.03231878860888e-5</v>
      </c>
      <c r="J241" s="156">
        <f t="shared" si="19"/>
        <v>0.999978254197578</v>
      </c>
      <c r="K241" s="164"/>
      <c r="Q241">
        <f t="shared" si="15"/>
        <v>710178.09</v>
      </c>
      <c r="R241">
        <f t="shared" si="16"/>
        <v>700365.05</v>
      </c>
    </row>
    <row r="242" spans="3:18">
      <c r="C242" s="147" t="s">
        <v>435</v>
      </c>
      <c r="D242" s="148" t="s">
        <v>437</v>
      </c>
      <c r="E242" s="149" t="s">
        <v>21</v>
      </c>
      <c r="F242" s="149">
        <v>2</v>
      </c>
      <c r="G242" s="149">
        <v>3.3</v>
      </c>
      <c r="H242" s="149">
        <f t="shared" si="17"/>
        <v>6.6</v>
      </c>
      <c r="I242" s="156">
        <f t="shared" si="18"/>
        <v>9.42365699145039e-6</v>
      </c>
      <c r="J242" s="156">
        <f t="shared" si="19"/>
        <v>0.99998767785457</v>
      </c>
      <c r="K242" s="164"/>
      <c r="Q242">
        <f t="shared" si="15"/>
        <v>710178.09</v>
      </c>
      <c r="R242">
        <f t="shared" si="16"/>
        <v>700365.05</v>
      </c>
    </row>
    <row r="243" spans="3:18">
      <c r="C243" s="147">
        <v>7097</v>
      </c>
      <c r="D243" s="148" t="s">
        <v>464</v>
      </c>
      <c r="E243" s="149" t="s">
        <v>21</v>
      </c>
      <c r="F243" s="149">
        <v>1</v>
      </c>
      <c r="G243" s="149">
        <v>4.33</v>
      </c>
      <c r="H243" s="149">
        <f t="shared" si="17"/>
        <v>4.33</v>
      </c>
      <c r="I243" s="156">
        <f t="shared" si="18"/>
        <v>6.18249011711821e-6</v>
      </c>
      <c r="J243" s="156">
        <f t="shared" si="19"/>
        <v>0.999993860344687</v>
      </c>
      <c r="K243" s="164"/>
      <c r="Q243">
        <f t="shared" si="15"/>
        <v>710178.09</v>
      </c>
      <c r="R243">
        <f t="shared" si="16"/>
        <v>700365.05</v>
      </c>
    </row>
    <row r="244" spans="3:18">
      <c r="C244" s="147" t="s">
        <v>171</v>
      </c>
      <c r="D244" s="148" t="s">
        <v>173</v>
      </c>
      <c r="E244" s="149" t="s">
        <v>95</v>
      </c>
      <c r="F244" s="149">
        <v>0.18</v>
      </c>
      <c r="G244" s="149">
        <v>11.92</v>
      </c>
      <c r="H244" s="149">
        <f t="shared" si="17"/>
        <v>2.15</v>
      </c>
      <c r="I244" s="156">
        <f t="shared" si="18"/>
        <v>3.06982765630581e-6</v>
      </c>
      <c r="J244" s="156">
        <f t="shared" si="19"/>
        <v>0.999996930172343</v>
      </c>
      <c r="K244" s="164"/>
      <c r="Q244">
        <f t="shared" si="15"/>
        <v>710178.09</v>
      </c>
      <c r="R244">
        <f t="shared" si="16"/>
        <v>700365.05</v>
      </c>
    </row>
    <row r="245" spans="3:18">
      <c r="C245" s="147" t="s">
        <v>171</v>
      </c>
      <c r="D245" s="148" t="s">
        <v>148</v>
      </c>
      <c r="E245" s="149" t="s">
        <v>95</v>
      </c>
      <c r="F245" s="149">
        <v>0.18</v>
      </c>
      <c r="G245" s="149">
        <v>11.92</v>
      </c>
      <c r="H245" s="149">
        <f t="shared" si="17"/>
        <v>2.15</v>
      </c>
      <c r="I245" s="156">
        <f t="shared" si="18"/>
        <v>3.06982765630581e-6</v>
      </c>
      <c r="J245" s="156">
        <f t="shared" si="19"/>
        <v>0.999999999999999</v>
      </c>
      <c r="K245" s="166"/>
      <c r="Q245">
        <f t="shared" si="15"/>
        <v>710178.09</v>
      </c>
      <c r="R245">
        <f t="shared" si="16"/>
        <v>700365.05</v>
      </c>
    </row>
    <row r="246" spans="6:18">
      <c r="F246" s="165"/>
      <c r="I246" s="156">
        <f t="shared" si="18"/>
        <v>0</v>
      </c>
      <c r="J246" s="135">
        <f t="shared" si="19"/>
        <v>0.999999999999999</v>
      </c>
      <c r="Q246">
        <f t="shared" si="15"/>
        <v>710178.09</v>
      </c>
      <c r="R246">
        <f t="shared" si="16"/>
        <v>700365.05</v>
      </c>
    </row>
    <row r="247" spans="9:18">
      <c r="I247" s="156">
        <f t="shared" si="18"/>
        <v>0</v>
      </c>
      <c r="J247" s="135">
        <f t="shared" si="19"/>
        <v>0.999999999999999</v>
      </c>
      <c r="Q247">
        <f t="shared" si="15"/>
        <v>710178.09</v>
      </c>
      <c r="R247">
        <f t="shared" si="16"/>
        <v>700365.05</v>
      </c>
    </row>
    <row r="248" spans="9:18">
      <c r="I248" s="156">
        <f t="shared" si="18"/>
        <v>0</v>
      </c>
      <c r="J248" s="135">
        <f t="shared" si="19"/>
        <v>0.999999999999999</v>
      </c>
      <c r="Q248">
        <f t="shared" si="15"/>
        <v>710178.09</v>
      </c>
      <c r="R248">
        <f t="shared" si="16"/>
        <v>700365.05</v>
      </c>
    </row>
    <row r="249" spans="9:18">
      <c r="I249" s="156">
        <f t="shared" si="18"/>
        <v>0</v>
      </c>
      <c r="J249" s="135">
        <f t="shared" si="19"/>
        <v>0.999999999999999</v>
      </c>
      <c r="Q249">
        <f t="shared" si="15"/>
        <v>710178.09</v>
      </c>
      <c r="R249">
        <f t="shared" si="16"/>
        <v>700365.05</v>
      </c>
    </row>
    <row r="250" spans="9:18">
      <c r="I250" s="156">
        <f t="shared" si="18"/>
        <v>0</v>
      </c>
      <c r="J250" s="135">
        <f t="shared" si="19"/>
        <v>0.999999999999999</v>
      </c>
      <c r="Q250">
        <f t="shared" si="15"/>
        <v>710178.09</v>
      </c>
      <c r="R250">
        <f t="shared" si="16"/>
        <v>700365.05</v>
      </c>
    </row>
    <row r="251" spans="9:18">
      <c r="I251" s="156">
        <f t="shared" si="18"/>
        <v>0</v>
      </c>
      <c r="J251" s="135">
        <f t="shared" si="19"/>
        <v>0.999999999999999</v>
      </c>
      <c r="Q251">
        <f t="shared" si="15"/>
        <v>710178.09</v>
      </c>
      <c r="R251">
        <f t="shared" si="16"/>
        <v>700365.05</v>
      </c>
    </row>
    <row r="252" spans="9:18">
      <c r="I252" s="156">
        <f t="shared" si="18"/>
        <v>0</v>
      </c>
      <c r="J252" s="135">
        <f t="shared" si="19"/>
        <v>0.999999999999999</v>
      </c>
      <c r="Q252">
        <f t="shared" si="15"/>
        <v>710178.09</v>
      </c>
      <c r="R252">
        <f t="shared" si="16"/>
        <v>700365.05</v>
      </c>
    </row>
    <row r="253" spans="9:18">
      <c r="I253" s="156">
        <f t="shared" si="18"/>
        <v>0</v>
      </c>
      <c r="J253" s="135">
        <f t="shared" si="19"/>
        <v>0.999999999999999</v>
      </c>
      <c r="Q253">
        <f t="shared" si="15"/>
        <v>710178.09</v>
      </c>
      <c r="R253">
        <f t="shared" si="16"/>
        <v>700365.05</v>
      </c>
    </row>
    <row r="254" spans="9:18">
      <c r="I254" s="156">
        <f t="shared" si="18"/>
        <v>0</v>
      </c>
      <c r="J254" s="135">
        <f t="shared" si="19"/>
        <v>0.999999999999999</v>
      </c>
      <c r="Q254">
        <f t="shared" si="15"/>
        <v>710178.09</v>
      </c>
      <c r="R254">
        <f t="shared" si="16"/>
        <v>700365.05</v>
      </c>
    </row>
    <row r="255" spans="9:18">
      <c r="I255" s="156">
        <f t="shared" si="18"/>
        <v>0</v>
      </c>
      <c r="J255" s="135">
        <f t="shared" si="19"/>
        <v>0.999999999999999</v>
      </c>
      <c r="Q255">
        <f t="shared" si="15"/>
        <v>710178.09</v>
      </c>
      <c r="R255">
        <f t="shared" si="16"/>
        <v>700365.05</v>
      </c>
    </row>
    <row r="256" spans="9:18">
      <c r="I256" s="156">
        <f t="shared" si="18"/>
        <v>0</v>
      </c>
      <c r="J256" s="135">
        <f t="shared" si="19"/>
        <v>0.999999999999999</v>
      </c>
      <c r="Q256">
        <f t="shared" si="15"/>
        <v>710178.09</v>
      </c>
      <c r="R256">
        <f t="shared" si="16"/>
        <v>700365.05</v>
      </c>
    </row>
    <row r="257" spans="9:18">
      <c r="I257" s="156">
        <f t="shared" si="18"/>
        <v>0</v>
      </c>
      <c r="J257" s="135">
        <f t="shared" si="19"/>
        <v>0.999999999999999</v>
      </c>
      <c r="Q257">
        <f t="shared" si="15"/>
        <v>710178.09</v>
      </c>
      <c r="R257">
        <f t="shared" si="16"/>
        <v>700365.05</v>
      </c>
    </row>
    <row r="258" spans="9:18">
      <c r="I258" s="156">
        <f t="shared" si="18"/>
        <v>0</v>
      </c>
      <c r="J258" s="135">
        <f t="shared" si="19"/>
        <v>0.999999999999999</v>
      </c>
      <c r="Q258">
        <f t="shared" si="15"/>
        <v>710178.09</v>
      </c>
      <c r="R258">
        <f t="shared" si="16"/>
        <v>700365.05</v>
      </c>
    </row>
    <row r="259" spans="9:18">
      <c r="I259" s="156">
        <f t="shared" si="18"/>
        <v>0</v>
      </c>
      <c r="J259" s="135">
        <f t="shared" si="19"/>
        <v>0.999999999999999</v>
      </c>
      <c r="Q259">
        <f t="shared" si="15"/>
        <v>710178.09</v>
      </c>
      <c r="R259">
        <f t="shared" si="16"/>
        <v>700365.05</v>
      </c>
    </row>
    <row r="260" spans="9:18">
      <c r="I260" s="156">
        <f t="shared" si="18"/>
        <v>0</v>
      </c>
      <c r="J260" s="135">
        <f t="shared" si="19"/>
        <v>0.999999999999999</v>
      </c>
      <c r="Q260">
        <f t="shared" si="15"/>
        <v>710178.09</v>
      </c>
      <c r="R260">
        <f t="shared" si="16"/>
        <v>700365.05</v>
      </c>
    </row>
    <row r="261" spans="9:18">
      <c r="I261" s="156">
        <f t="shared" si="18"/>
        <v>0</v>
      </c>
      <c r="J261" s="135">
        <f t="shared" si="19"/>
        <v>0.999999999999999</v>
      </c>
      <c r="Q261">
        <f t="shared" si="15"/>
        <v>710178.09</v>
      </c>
      <c r="R261">
        <f t="shared" si="16"/>
        <v>700365.05</v>
      </c>
    </row>
    <row r="262" spans="9:18">
      <c r="I262" s="156">
        <f t="shared" si="18"/>
        <v>0</v>
      </c>
      <c r="J262" s="135">
        <f t="shared" si="19"/>
        <v>0.999999999999999</v>
      </c>
      <c r="Q262">
        <f t="shared" si="15"/>
        <v>710178.09</v>
      </c>
      <c r="R262">
        <f t="shared" si="16"/>
        <v>700365.05</v>
      </c>
    </row>
    <row r="263" spans="9:18">
      <c r="I263" s="156">
        <f t="shared" si="18"/>
        <v>0</v>
      </c>
      <c r="J263" s="135">
        <f t="shared" si="19"/>
        <v>0.999999999999999</v>
      </c>
      <c r="Q263">
        <f t="shared" si="15"/>
        <v>710178.09</v>
      </c>
      <c r="R263">
        <f t="shared" si="16"/>
        <v>700365.05</v>
      </c>
    </row>
    <row r="264" spans="9:18">
      <c r="I264" s="156">
        <f t="shared" si="18"/>
        <v>0</v>
      </c>
      <c r="J264" s="135">
        <f t="shared" si="19"/>
        <v>0.999999999999999</v>
      </c>
      <c r="Q264">
        <f t="shared" ref="Q264:Q327" si="20">$Q$7</f>
        <v>710178.09</v>
      </c>
      <c r="R264">
        <f t="shared" ref="R264:R327" si="21">$R$7</f>
        <v>700365.05</v>
      </c>
    </row>
    <row r="265" spans="9:18">
      <c r="I265" s="156">
        <f t="shared" si="18"/>
        <v>0</v>
      </c>
      <c r="J265" s="135">
        <f t="shared" si="19"/>
        <v>0.999999999999999</v>
      </c>
      <c r="Q265">
        <f t="shared" si="20"/>
        <v>710178.09</v>
      </c>
      <c r="R265">
        <f t="shared" si="21"/>
        <v>700365.05</v>
      </c>
    </row>
    <row r="266" spans="9:18">
      <c r="I266" s="156">
        <f t="shared" ref="I266:I329" si="22">H266/$R$7</f>
        <v>0</v>
      </c>
      <c r="J266" s="135">
        <f t="shared" si="19"/>
        <v>0.999999999999999</v>
      </c>
      <c r="Q266">
        <f t="shared" si="20"/>
        <v>710178.09</v>
      </c>
      <c r="R266">
        <f t="shared" si="21"/>
        <v>700365.05</v>
      </c>
    </row>
    <row r="267" spans="9:18">
      <c r="I267" s="156">
        <f t="shared" si="22"/>
        <v>0</v>
      </c>
      <c r="J267" s="135">
        <f t="shared" ref="J267:J330" si="23">I267+J266</f>
        <v>0.999999999999999</v>
      </c>
      <c r="Q267">
        <f t="shared" si="20"/>
        <v>710178.09</v>
      </c>
      <c r="R267">
        <f t="shared" si="21"/>
        <v>700365.05</v>
      </c>
    </row>
    <row r="268" spans="9:18">
      <c r="I268" s="156">
        <f t="shared" si="22"/>
        <v>0</v>
      </c>
      <c r="J268" s="135">
        <f t="shared" si="23"/>
        <v>0.999999999999999</v>
      </c>
      <c r="Q268">
        <f t="shared" si="20"/>
        <v>710178.09</v>
      </c>
      <c r="R268">
        <f t="shared" si="21"/>
        <v>700365.05</v>
      </c>
    </row>
    <row r="269" spans="9:18">
      <c r="I269" s="156">
        <f t="shared" si="22"/>
        <v>0</v>
      </c>
      <c r="J269" s="135">
        <f t="shared" si="23"/>
        <v>0.999999999999999</v>
      </c>
      <c r="Q269">
        <f t="shared" si="20"/>
        <v>710178.09</v>
      </c>
      <c r="R269">
        <f t="shared" si="21"/>
        <v>700365.05</v>
      </c>
    </row>
    <row r="270" spans="9:18">
      <c r="I270" s="156">
        <f t="shared" si="22"/>
        <v>0</v>
      </c>
      <c r="J270" s="135">
        <f t="shared" si="23"/>
        <v>0.999999999999999</v>
      </c>
      <c r="Q270">
        <f t="shared" si="20"/>
        <v>710178.09</v>
      </c>
      <c r="R270">
        <f t="shared" si="21"/>
        <v>700365.05</v>
      </c>
    </row>
    <row r="271" spans="9:18">
      <c r="I271" s="156">
        <f t="shared" si="22"/>
        <v>0</v>
      </c>
      <c r="J271" s="135">
        <f t="shared" si="23"/>
        <v>0.999999999999999</v>
      </c>
      <c r="Q271">
        <f t="shared" si="20"/>
        <v>710178.09</v>
      </c>
      <c r="R271">
        <f t="shared" si="21"/>
        <v>700365.05</v>
      </c>
    </row>
    <row r="272" spans="9:18">
      <c r="I272" s="156">
        <f t="shared" si="22"/>
        <v>0</v>
      </c>
      <c r="J272" s="135">
        <f t="shared" si="23"/>
        <v>0.999999999999999</v>
      </c>
      <c r="Q272">
        <f t="shared" si="20"/>
        <v>710178.09</v>
      </c>
      <c r="R272">
        <f t="shared" si="21"/>
        <v>700365.05</v>
      </c>
    </row>
    <row r="273" spans="9:18">
      <c r="I273" s="156">
        <f t="shared" si="22"/>
        <v>0</v>
      </c>
      <c r="J273" s="135">
        <f t="shared" si="23"/>
        <v>0.999999999999999</v>
      </c>
      <c r="Q273">
        <f t="shared" si="20"/>
        <v>710178.09</v>
      </c>
      <c r="R273">
        <f t="shared" si="21"/>
        <v>700365.05</v>
      </c>
    </row>
    <row r="274" spans="9:18">
      <c r="I274" s="156">
        <f t="shared" si="22"/>
        <v>0</v>
      </c>
      <c r="J274" s="135">
        <f t="shared" si="23"/>
        <v>0.999999999999999</v>
      </c>
      <c r="Q274">
        <f t="shared" si="20"/>
        <v>710178.09</v>
      </c>
      <c r="R274">
        <f t="shared" si="21"/>
        <v>700365.05</v>
      </c>
    </row>
    <row r="275" spans="9:18">
      <c r="I275" s="156">
        <f t="shared" si="22"/>
        <v>0</v>
      </c>
      <c r="J275" s="135">
        <f t="shared" si="23"/>
        <v>0.999999999999999</v>
      </c>
      <c r="Q275">
        <f t="shared" si="20"/>
        <v>710178.09</v>
      </c>
      <c r="R275">
        <f t="shared" si="21"/>
        <v>700365.05</v>
      </c>
    </row>
    <row r="276" spans="9:18">
      <c r="I276" s="156">
        <f t="shared" si="22"/>
        <v>0</v>
      </c>
      <c r="J276" s="135">
        <f t="shared" si="23"/>
        <v>0.999999999999999</v>
      </c>
      <c r="Q276">
        <f t="shared" si="20"/>
        <v>710178.09</v>
      </c>
      <c r="R276">
        <f t="shared" si="21"/>
        <v>700365.05</v>
      </c>
    </row>
    <row r="277" spans="9:18">
      <c r="I277" s="156">
        <f t="shared" si="22"/>
        <v>0</v>
      </c>
      <c r="J277" s="135">
        <f t="shared" si="23"/>
        <v>0.999999999999999</v>
      </c>
      <c r="Q277">
        <f t="shared" si="20"/>
        <v>710178.09</v>
      </c>
      <c r="R277">
        <f t="shared" si="21"/>
        <v>700365.05</v>
      </c>
    </row>
    <row r="278" spans="9:18">
      <c r="I278" s="156">
        <f t="shared" si="22"/>
        <v>0</v>
      </c>
      <c r="J278" s="135">
        <f t="shared" si="23"/>
        <v>0.999999999999999</v>
      </c>
      <c r="Q278">
        <f t="shared" si="20"/>
        <v>710178.09</v>
      </c>
      <c r="R278">
        <f t="shared" si="21"/>
        <v>700365.05</v>
      </c>
    </row>
    <row r="279" spans="9:18">
      <c r="I279" s="156">
        <f t="shared" si="22"/>
        <v>0</v>
      </c>
      <c r="J279" s="135">
        <f t="shared" si="23"/>
        <v>0.999999999999999</v>
      </c>
      <c r="Q279">
        <f t="shared" si="20"/>
        <v>710178.09</v>
      </c>
      <c r="R279">
        <f t="shared" si="21"/>
        <v>700365.05</v>
      </c>
    </row>
    <row r="280" spans="9:18">
      <c r="I280" s="156">
        <f t="shared" si="22"/>
        <v>0</v>
      </c>
      <c r="J280" s="135">
        <f t="shared" si="23"/>
        <v>0.999999999999999</v>
      </c>
      <c r="Q280">
        <f t="shared" si="20"/>
        <v>710178.09</v>
      </c>
      <c r="R280">
        <f t="shared" si="21"/>
        <v>700365.05</v>
      </c>
    </row>
    <row r="281" spans="9:18">
      <c r="I281" s="156">
        <f t="shared" si="22"/>
        <v>0</v>
      </c>
      <c r="J281" s="135">
        <f t="shared" si="23"/>
        <v>0.999999999999999</v>
      </c>
      <c r="Q281">
        <f t="shared" si="20"/>
        <v>710178.09</v>
      </c>
      <c r="R281">
        <f t="shared" si="21"/>
        <v>700365.05</v>
      </c>
    </row>
    <row r="282" spans="9:18">
      <c r="I282" s="156">
        <f t="shared" si="22"/>
        <v>0</v>
      </c>
      <c r="J282" s="135">
        <f t="shared" si="23"/>
        <v>0.999999999999999</v>
      </c>
      <c r="Q282">
        <f t="shared" si="20"/>
        <v>710178.09</v>
      </c>
      <c r="R282">
        <f t="shared" si="21"/>
        <v>700365.05</v>
      </c>
    </row>
    <row r="283" spans="9:18">
      <c r="I283" s="156">
        <f t="shared" si="22"/>
        <v>0</v>
      </c>
      <c r="J283" s="135">
        <f t="shared" si="23"/>
        <v>0.999999999999999</v>
      </c>
      <c r="Q283">
        <f t="shared" si="20"/>
        <v>710178.09</v>
      </c>
      <c r="R283">
        <f t="shared" si="21"/>
        <v>700365.05</v>
      </c>
    </row>
    <row r="284" spans="9:18">
      <c r="I284" s="156">
        <f t="shared" si="22"/>
        <v>0</v>
      </c>
      <c r="J284" s="135">
        <f t="shared" si="23"/>
        <v>0.999999999999999</v>
      </c>
      <c r="Q284">
        <f t="shared" si="20"/>
        <v>710178.09</v>
      </c>
      <c r="R284">
        <f t="shared" si="21"/>
        <v>700365.05</v>
      </c>
    </row>
    <row r="285" spans="9:18">
      <c r="I285" s="156">
        <f t="shared" si="22"/>
        <v>0</v>
      </c>
      <c r="J285" s="135">
        <f t="shared" si="23"/>
        <v>0.999999999999999</v>
      </c>
      <c r="Q285">
        <f t="shared" si="20"/>
        <v>710178.09</v>
      </c>
      <c r="R285">
        <f t="shared" si="21"/>
        <v>700365.05</v>
      </c>
    </row>
    <row r="286" spans="9:18">
      <c r="I286" s="156">
        <f t="shared" si="22"/>
        <v>0</v>
      </c>
      <c r="J286" s="135">
        <f t="shared" si="23"/>
        <v>0.999999999999999</v>
      </c>
      <c r="Q286">
        <f t="shared" si="20"/>
        <v>710178.09</v>
      </c>
      <c r="R286">
        <f t="shared" si="21"/>
        <v>700365.05</v>
      </c>
    </row>
    <row r="287" spans="9:18">
      <c r="I287" s="156">
        <f t="shared" si="22"/>
        <v>0</v>
      </c>
      <c r="J287" s="135">
        <f t="shared" si="23"/>
        <v>0.999999999999999</v>
      </c>
      <c r="Q287">
        <f t="shared" si="20"/>
        <v>710178.09</v>
      </c>
      <c r="R287">
        <f t="shared" si="21"/>
        <v>700365.05</v>
      </c>
    </row>
    <row r="288" spans="9:18">
      <c r="I288" s="156">
        <f t="shared" si="22"/>
        <v>0</v>
      </c>
      <c r="J288" s="135">
        <f t="shared" si="23"/>
        <v>0.999999999999999</v>
      </c>
      <c r="Q288">
        <f t="shared" si="20"/>
        <v>710178.09</v>
      </c>
      <c r="R288">
        <f t="shared" si="21"/>
        <v>700365.05</v>
      </c>
    </row>
    <row r="289" spans="9:18">
      <c r="I289" s="156">
        <f t="shared" si="22"/>
        <v>0</v>
      </c>
      <c r="J289" s="135">
        <f t="shared" si="23"/>
        <v>0.999999999999999</v>
      </c>
      <c r="Q289">
        <f t="shared" si="20"/>
        <v>710178.09</v>
      </c>
      <c r="R289">
        <f t="shared" si="21"/>
        <v>700365.05</v>
      </c>
    </row>
    <row r="290" spans="9:18">
      <c r="I290" s="156">
        <f t="shared" si="22"/>
        <v>0</v>
      </c>
      <c r="J290" s="135">
        <f t="shared" si="23"/>
        <v>0.999999999999999</v>
      </c>
      <c r="Q290">
        <f t="shared" si="20"/>
        <v>710178.09</v>
      </c>
      <c r="R290">
        <f t="shared" si="21"/>
        <v>700365.05</v>
      </c>
    </row>
    <row r="291" spans="9:18">
      <c r="I291" s="156">
        <f t="shared" si="22"/>
        <v>0</v>
      </c>
      <c r="J291" s="135">
        <f t="shared" si="23"/>
        <v>0.999999999999999</v>
      </c>
      <c r="Q291">
        <f t="shared" si="20"/>
        <v>710178.09</v>
      </c>
      <c r="R291">
        <f t="shared" si="21"/>
        <v>700365.05</v>
      </c>
    </row>
    <row r="292" spans="9:18">
      <c r="I292" s="156">
        <f t="shared" si="22"/>
        <v>0</v>
      </c>
      <c r="J292" s="135">
        <f t="shared" si="23"/>
        <v>0.999999999999999</v>
      </c>
      <c r="Q292">
        <f t="shared" si="20"/>
        <v>710178.09</v>
      </c>
      <c r="R292">
        <f t="shared" si="21"/>
        <v>700365.05</v>
      </c>
    </row>
    <row r="293" spans="9:18">
      <c r="I293" s="156">
        <f t="shared" si="22"/>
        <v>0</v>
      </c>
      <c r="J293" s="135">
        <f t="shared" si="23"/>
        <v>0.999999999999999</v>
      </c>
      <c r="Q293">
        <f t="shared" si="20"/>
        <v>710178.09</v>
      </c>
      <c r="R293">
        <f t="shared" si="21"/>
        <v>700365.05</v>
      </c>
    </row>
    <row r="294" spans="9:18">
      <c r="I294" s="156">
        <f t="shared" si="22"/>
        <v>0</v>
      </c>
      <c r="J294" s="135">
        <f t="shared" si="23"/>
        <v>0.999999999999999</v>
      </c>
      <c r="Q294">
        <f t="shared" si="20"/>
        <v>710178.09</v>
      </c>
      <c r="R294">
        <f t="shared" si="21"/>
        <v>700365.05</v>
      </c>
    </row>
    <row r="295" spans="9:18">
      <c r="I295" s="156">
        <f t="shared" si="22"/>
        <v>0</v>
      </c>
      <c r="J295" s="135">
        <f t="shared" si="23"/>
        <v>0.999999999999999</v>
      </c>
      <c r="Q295">
        <f t="shared" si="20"/>
        <v>710178.09</v>
      </c>
      <c r="R295">
        <f t="shared" si="21"/>
        <v>700365.05</v>
      </c>
    </row>
    <row r="296" spans="9:18">
      <c r="I296" s="156">
        <f t="shared" si="22"/>
        <v>0</v>
      </c>
      <c r="J296" s="135">
        <f t="shared" si="23"/>
        <v>0.999999999999999</v>
      </c>
      <c r="Q296">
        <f t="shared" si="20"/>
        <v>710178.09</v>
      </c>
      <c r="R296">
        <f t="shared" si="21"/>
        <v>700365.05</v>
      </c>
    </row>
    <row r="297" spans="9:18">
      <c r="I297" s="156">
        <f t="shared" si="22"/>
        <v>0</v>
      </c>
      <c r="J297" s="135">
        <f t="shared" si="23"/>
        <v>0.999999999999999</v>
      </c>
      <c r="Q297">
        <f t="shared" si="20"/>
        <v>710178.09</v>
      </c>
      <c r="R297">
        <f t="shared" si="21"/>
        <v>700365.05</v>
      </c>
    </row>
    <row r="298" spans="9:18">
      <c r="I298" s="156">
        <f t="shared" si="22"/>
        <v>0</v>
      </c>
      <c r="J298" s="135">
        <f t="shared" si="23"/>
        <v>0.999999999999999</v>
      </c>
      <c r="Q298">
        <f t="shared" si="20"/>
        <v>710178.09</v>
      </c>
      <c r="R298">
        <f t="shared" si="21"/>
        <v>700365.05</v>
      </c>
    </row>
    <row r="299" spans="9:18">
      <c r="I299" s="156">
        <f t="shared" si="22"/>
        <v>0</v>
      </c>
      <c r="J299" s="135">
        <f t="shared" si="23"/>
        <v>0.999999999999999</v>
      </c>
      <c r="Q299">
        <f t="shared" si="20"/>
        <v>710178.09</v>
      </c>
      <c r="R299">
        <f t="shared" si="21"/>
        <v>700365.05</v>
      </c>
    </row>
    <row r="300" spans="9:18">
      <c r="I300" s="156">
        <f t="shared" si="22"/>
        <v>0</v>
      </c>
      <c r="J300" s="135">
        <f t="shared" si="23"/>
        <v>0.999999999999999</v>
      </c>
      <c r="Q300">
        <f t="shared" si="20"/>
        <v>710178.09</v>
      </c>
      <c r="R300">
        <f t="shared" si="21"/>
        <v>700365.05</v>
      </c>
    </row>
    <row r="301" spans="9:18">
      <c r="I301" s="156">
        <f t="shared" si="22"/>
        <v>0</v>
      </c>
      <c r="J301" s="135">
        <f t="shared" si="23"/>
        <v>0.999999999999999</v>
      </c>
      <c r="Q301">
        <f t="shared" si="20"/>
        <v>710178.09</v>
      </c>
      <c r="R301">
        <f t="shared" si="21"/>
        <v>700365.05</v>
      </c>
    </row>
    <row r="302" spans="9:18">
      <c r="I302" s="156">
        <f t="shared" si="22"/>
        <v>0</v>
      </c>
      <c r="J302" s="135">
        <f t="shared" si="23"/>
        <v>0.999999999999999</v>
      </c>
      <c r="Q302">
        <f t="shared" si="20"/>
        <v>710178.09</v>
      </c>
      <c r="R302">
        <f t="shared" si="21"/>
        <v>700365.05</v>
      </c>
    </row>
    <row r="303" spans="9:18">
      <c r="I303" s="156">
        <f t="shared" si="22"/>
        <v>0</v>
      </c>
      <c r="J303" s="135">
        <f t="shared" si="23"/>
        <v>0.999999999999999</v>
      </c>
      <c r="Q303">
        <f t="shared" si="20"/>
        <v>710178.09</v>
      </c>
      <c r="R303">
        <f t="shared" si="21"/>
        <v>700365.05</v>
      </c>
    </row>
    <row r="304" spans="9:18">
      <c r="I304" s="156">
        <f t="shared" si="22"/>
        <v>0</v>
      </c>
      <c r="J304" s="135">
        <f t="shared" si="23"/>
        <v>0.999999999999999</v>
      </c>
      <c r="Q304">
        <f t="shared" si="20"/>
        <v>710178.09</v>
      </c>
      <c r="R304">
        <f t="shared" si="21"/>
        <v>700365.05</v>
      </c>
    </row>
    <row r="305" spans="9:18">
      <c r="I305" s="156">
        <f t="shared" si="22"/>
        <v>0</v>
      </c>
      <c r="J305" s="135">
        <f t="shared" si="23"/>
        <v>0.999999999999999</v>
      </c>
      <c r="Q305">
        <f t="shared" si="20"/>
        <v>710178.09</v>
      </c>
      <c r="R305">
        <f t="shared" si="21"/>
        <v>700365.05</v>
      </c>
    </row>
    <row r="306" spans="9:18">
      <c r="I306" s="156">
        <f t="shared" si="22"/>
        <v>0</v>
      </c>
      <c r="J306" s="135">
        <f t="shared" si="23"/>
        <v>0.999999999999999</v>
      </c>
      <c r="Q306">
        <f t="shared" si="20"/>
        <v>710178.09</v>
      </c>
      <c r="R306">
        <f t="shared" si="21"/>
        <v>700365.05</v>
      </c>
    </row>
    <row r="307" spans="9:18">
      <c r="I307" s="156">
        <f t="shared" si="22"/>
        <v>0</v>
      </c>
      <c r="J307" s="135">
        <f t="shared" si="23"/>
        <v>0.999999999999999</v>
      </c>
      <c r="Q307">
        <f t="shared" si="20"/>
        <v>710178.09</v>
      </c>
      <c r="R307">
        <f t="shared" si="21"/>
        <v>700365.05</v>
      </c>
    </row>
    <row r="308" spans="9:18">
      <c r="I308" s="156">
        <f t="shared" si="22"/>
        <v>0</v>
      </c>
      <c r="J308" s="135">
        <f t="shared" si="23"/>
        <v>0.999999999999999</v>
      </c>
      <c r="Q308">
        <f t="shared" si="20"/>
        <v>710178.09</v>
      </c>
      <c r="R308">
        <f t="shared" si="21"/>
        <v>700365.05</v>
      </c>
    </row>
    <row r="309" spans="9:18">
      <c r="I309" s="156">
        <f t="shared" si="22"/>
        <v>0</v>
      </c>
      <c r="J309" s="135">
        <f t="shared" si="23"/>
        <v>0.999999999999999</v>
      </c>
      <c r="Q309">
        <f t="shared" si="20"/>
        <v>710178.09</v>
      </c>
      <c r="R309">
        <f t="shared" si="21"/>
        <v>700365.05</v>
      </c>
    </row>
    <row r="310" spans="9:18">
      <c r="I310" s="156">
        <f t="shared" si="22"/>
        <v>0</v>
      </c>
      <c r="J310" s="135">
        <f t="shared" si="23"/>
        <v>0.999999999999999</v>
      </c>
      <c r="Q310">
        <f t="shared" si="20"/>
        <v>710178.09</v>
      </c>
      <c r="R310">
        <f t="shared" si="21"/>
        <v>700365.05</v>
      </c>
    </row>
    <row r="311" spans="9:18">
      <c r="I311" s="156">
        <f t="shared" si="22"/>
        <v>0</v>
      </c>
      <c r="J311" s="135">
        <f t="shared" si="23"/>
        <v>0.999999999999999</v>
      </c>
      <c r="Q311">
        <f t="shared" si="20"/>
        <v>710178.09</v>
      </c>
      <c r="R311">
        <f t="shared" si="21"/>
        <v>700365.05</v>
      </c>
    </row>
    <row r="312" spans="9:18">
      <c r="I312" s="156">
        <f t="shared" si="22"/>
        <v>0</v>
      </c>
      <c r="J312" s="135">
        <f t="shared" si="23"/>
        <v>0.999999999999999</v>
      </c>
      <c r="Q312">
        <f t="shared" si="20"/>
        <v>710178.09</v>
      </c>
      <c r="R312">
        <f t="shared" si="21"/>
        <v>700365.05</v>
      </c>
    </row>
    <row r="313" spans="9:18">
      <c r="I313" s="156">
        <f t="shared" si="22"/>
        <v>0</v>
      </c>
      <c r="J313" s="135">
        <f t="shared" si="23"/>
        <v>0.999999999999999</v>
      </c>
      <c r="Q313">
        <f t="shared" si="20"/>
        <v>710178.09</v>
      </c>
      <c r="R313">
        <f t="shared" si="21"/>
        <v>700365.05</v>
      </c>
    </row>
    <row r="314" spans="9:18">
      <c r="I314" s="156">
        <f t="shared" si="22"/>
        <v>0</v>
      </c>
      <c r="J314" s="135">
        <f t="shared" si="23"/>
        <v>0.999999999999999</v>
      </c>
      <c r="Q314">
        <f t="shared" si="20"/>
        <v>710178.09</v>
      </c>
      <c r="R314">
        <f t="shared" si="21"/>
        <v>700365.05</v>
      </c>
    </row>
    <row r="315" spans="9:18">
      <c r="I315" s="156">
        <f t="shared" si="22"/>
        <v>0</v>
      </c>
      <c r="J315" s="135">
        <f t="shared" si="23"/>
        <v>0.999999999999999</v>
      </c>
      <c r="Q315">
        <f t="shared" si="20"/>
        <v>710178.09</v>
      </c>
      <c r="R315">
        <f t="shared" si="21"/>
        <v>700365.05</v>
      </c>
    </row>
    <row r="316" spans="9:18">
      <c r="I316" s="156">
        <f t="shared" si="22"/>
        <v>0</v>
      </c>
      <c r="J316" s="135">
        <f t="shared" si="23"/>
        <v>0.999999999999999</v>
      </c>
      <c r="Q316">
        <f t="shared" si="20"/>
        <v>710178.09</v>
      </c>
      <c r="R316">
        <f t="shared" si="21"/>
        <v>700365.05</v>
      </c>
    </row>
    <row r="317" spans="9:18">
      <c r="I317" s="156">
        <f t="shared" si="22"/>
        <v>0</v>
      </c>
      <c r="J317" s="135">
        <f t="shared" si="23"/>
        <v>0.999999999999999</v>
      </c>
      <c r="Q317">
        <f t="shared" si="20"/>
        <v>710178.09</v>
      </c>
      <c r="R317">
        <f t="shared" si="21"/>
        <v>700365.05</v>
      </c>
    </row>
    <row r="318" spans="9:18">
      <c r="I318" s="156">
        <f t="shared" si="22"/>
        <v>0</v>
      </c>
      <c r="J318" s="135">
        <f t="shared" si="23"/>
        <v>0.999999999999999</v>
      </c>
      <c r="Q318">
        <f t="shared" si="20"/>
        <v>710178.09</v>
      </c>
      <c r="R318">
        <f t="shared" si="21"/>
        <v>700365.05</v>
      </c>
    </row>
    <row r="319" spans="9:18">
      <c r="I319" s="156">
        <f t="shared" si="22"/>
        <v>0</v>
      </c>
      <c r="J319" s="135">
        <f t="shared" si="23"/>
        <v>0.999999999999999</v>
      </c>
      <c r="Q319">
        <f t="shared" si="20"/>
        <v>710178.09</v>
      </c>
      <c r="R319">
        <f t="shared" si="21"/>
        <v>700365.05</v>
      </c>
    </row>
    <row r="320" spans="9:18">
      <c r="I320" s="156">
        <f t="shared" si="22"/>
        <v>0</v>
      </c>
      <c r="J320" s="135">
        <f t="shared" si="23"/>
        <v>0.999999999999999</v>
      </c>
      <c r="Q320">
        <f t="shared" si="20"/>
        <v>710178.09</v>
      </c>
      <c r="R320">
        <f t="shared" si="21"/>
        <v>700365.05</v>
      </c>
    </row>
    <row r="321" spans="9:18">
      <c r="I321" s="156">
        <f t="shared" si="22"/>
        <v>0</v>
      </c>
      <c r="J321" s="135">
        <f t="shared" si="23"/>
        <v>0.999999999999999</v>
      </c>
      <c r="Q321">
        <f t="shared" si="20"/>
        <v>710178.09</v>
      </c>
      <c r="R321">
        <f t="shared" si="21"/>
        <v>700365.05</v>
      </c>
    </row>
    <row r="322" spans="9:18">
      <c r="I322" s="156">
        <f t="shared" si="22"/>
        <v>0</v>
      </c>
      <c r="J322" s="135">
        <f t="shared" si="23"/>
        <v>0.999999999999999</v>
      </c>
      <c r="Q322">
        <f t="shared" si="20"/>
        <v>710178.09</v>
      </c>
      <c r="R322">
        <f t="shared" si="21"/>
        <v>700365.05</v>
      </c>
    </row>
    <row r="323" spans="9:18">
      <c r="I323" s="156">
        <f t="shared" si="22"/>
        <v>0</v>
      </c>
      <c r="J323" s="135">
        <f t="shared" si="23"/>
        <v>0.999999999999999</v>
      </c>
      <c r="Q323">
        <f t="shared" si="20"/>
        <v>710178.09</v>
      </c>
      <c r="R323">
        <f t="shared" si="21"/>
        <v>700365.05</v>
      </c>
    </row>
    <row r="324" spans="9:18">
      <c r="I324" s="156">
        <f t="shared" si="22"/>
        <v>0</v>
      </c>
      <c r="J324" s="135">
        <f t="shared" si="23"/>
        <v>0.999999999999999</v>
      </c>
      <c r="Q324">
        <f t="shared" si="20"/>
        <v>710178.09</v>
      </c>
      <c r="R324">
        <f t="shared" si="21"/>
        <v>700365.05</v>
      </c>
    </row>
    <row r="325" spans="9:18">
      <c r="I325" s="156">
        <f t="shared" si="22"/>
        <v>0</v>
      </c>
      <c r="J325" s="135">
        <f t="shared" si="23"/>
        <v>0.999999999999999</v>
      </c>
      <c r="Q325">
        <f t="shared" si="20"/>
        <v>710178.09</v>
      </c>
      <c r="R325">
        <f t="shared" si="21"/>
        <v>700365.05</v>
      </c>
    </row>
    <row r="326" spans="9:18">
      <c r="I326" s="156">
        <f t="shared" si="22"/>
        <v>0</v>
      </c>
      <c r="J326" s="135">
        <f t="shared" si="23"/>
        <v>0.999999999999999</v>
      </c>
      <c r="Q326">
        <f t="shared" si="20"/>
        <v>710178.09</v>
      </c>
      <c r="R326">
        <f t="shared" si="21"/>
        <v>700365.05</v>
      </c>
    </row>
    <row r="327" spans="9:18">
      <c r="I327" s="156">
        <f t="shared" si="22"/>
        <v>0</v>
      </c>
      <c r="J327" s="135">
        <f t="shared" si="23"/>
        <v>0.999999999999999</v>
      </c>
      <c r="Q327">
        <f t="shared" si="20"/>
        <v>710178.09</v>
      </c>
      <c r="R327">
        <f t="shared" si="21"/>
        <v>700365.05</v>
      </c>
    </row>
    <row r="328" spans="9:18">
      <c r="I328" s="156">
        <f t="shared" si="22"/>
        <v>0</v>
      </c>
      <c r="J328" s="135">
        <f t="shared" si="23"/>
        <v>0.999999999999999</v>
      </c>
      <c r="Q328">
        <f t="shared" ref="Q328:Q391" si="24">$Q$7</f>
        <v>710178.09</v>
      </c>
      <c r="R328">
        <f t="shared" ref="R328:R391" si="25">$R$7</f>
        <v>700365.05</v>
      </c>
    </row>
    <row r="329" spans="9:18">
      <c r="I329" s="156">
        <f t="shared" si="22"/>
        <v>0</v>
      </c>
      <c r="J329" s="135">
        <f t="shared" si="23"/>
        <v>0.999999999999999</v>
      </c>
      <c r="Q329">
        <f t="shared" si="24"/>
        <v>710178.09</v>
      </c>
      <c r="R329">
        <f t="shared" si="25"/>
        <v>700365.05</v>
      </c>
    </row>
    <row r="330" spans="9:18">
      <c r="I330" s="156">
        <f t="shared" ref="I330:I393" si="26">H330/$R$7</f>
        <v>0</v>
      </c>
      <c r="J330" s="135">
        <f t="shared" si="23"/>
        <v>0.999999999999999</v>
      </c>
      <c r="Q330">
        <f t="shared" si="24"/>
        <v>710178.09</v>
      </c>
      <c r="R330">
        <f t="shared" si="25"/>
        <v>700365.05</v>
      </c>
    </row>
    <row r="331" spans="9:18">
      <c r="I331" s="156">
        <f t="shared" si="26"/>
        <v>0</v>
      </c>
      <c r="J331" s="135">
        <f t="shared" ref="J331:J394" si="27">I331+J330</f>
        <v>0.999999999999999</v>
      </c>
      <c r="Q331">
        <f t="shared" si="24"/>
        <v>710178.09</v>
      </c>
      <c r="R331">
        <f t="shared" si="25"/>
        <v>700365.05</v>
      </c>
    </row>
    <row r="332" spans="9:18">
      <c r="I332" s="156">
        <f t="shared" si="26"/>
        <v>0</v>
      </c>
      <c r="J332" s="135">
        <f t="shared" si="27"/>
        <v>0.999999999999999</v>
      </c>
      <c r="Q332">
        <f t="shared" si="24"/>
        <v>710178.09</v>
      </c>
      <c r="R332">
        <f t="shared" si="25"/>
        <v>700365.05</v>
      </c>
    </row>
    <row r="333" spans="9:18">
      <c r="I333" s="156">
        <f t="shared" si="26"/>
        <v>0</v>
      </c>
      <c r="J333" s="135">
        <f t="shared" si="27"/>
        <v>0.999999999999999</v>
      </c>
      <c r="Q333">
        <f t="shared" si="24"/>
        <v>710178.09</v>
      </c>
      <c r="R333">
        <f t="shared" si="25"/>
        <v>700365.05</v>
      </c>
    </row>
    <row r="334" spans="9:18">
      <c r="I334" s="156">
        <f t="shared" si="26"/>
        <v>0</v>
      </c>
      <c r="J334" s="135">
        <f t="shared" si="27"/>
        <v>0.999999999999999</v>
      </c>
      <c r="Q334">
        <f t="shared" si="24"/>
        <v>710178.09</v>
      </c>
      <c r="R334">
        <f t="shared" si="25"/>
        <v>700365.05</v>
      </c>
    </row>
    <row r="335" spans="9:18">
      <c r="I335" s="156">
        <f t="shared" si="26"/>
        <v>0</v>
      </c>
      <c r="J335" s="135">
        <f t="shared" si="27"/>
        <v>0.999999999999999</v>
      </c>
      <c r="Q335">
        <f t="shared" si="24"/>
        <v>710178.09</v>
      </c>
      <c r="R335">
        <f t="shared" si="25"/>
        <v>700365.05</v>
      </c>
    </row>
    <row r="336" spans="9:18">
      <c r="I336" s="156">
        <f t="shared" si="26"/>
        <v>0</v>
      </c>
      <c r="J336" s="135">
        <f t="shared" si="27"/>
        <v>0.999999999999999</v>
      </c>
      <c r="Q336">
        <f t="shared" si="24"/>
        <v>710178.09</v>
      </c>
      <c r="R336">
        <f t="shared" si="25"/>
        <v>700365.05</v>
      </c>
    </row>
    <row r="337" spans="9:18">
      <c r="I337" s="156">
        <f t="shared" si="26"/>
        <v>0</v>
      </c>
      <c r="J337" s="135">
        <f t="shared" si="27"/>
        <v>0.999999999999999</v>
      </c>
      <c r="Q337">
        <f t="shared" si="24"/>
        <v>710178.09</v>
      </c>
      <c r="R337">
        <f t="shared" si="25"/>
        <v>700365.05</v>
      </c>
    </row>
    <row r="338" spans="9:18">
      <c r="I338" s="156">
        <f t="shared" si="26"/>
        <v>0</v>
      </c>
      <c r="J338" s="135">
        <f t="shared" si="27"/>
        <v>0.999999999999999</v>
      </c>
      <c r="Q338">
        <f t="shared" si="24"/>
        <v>710178.09</v>
      </c>
      <c r="R338">
        <f t="shared" si="25"/>
        <v>700365.05</v>
      </c>
    </row>
    <row r="339" spans="9:18">
      <c r="I339" s="156">
        <f t="shared" si="26"/>
        <v>0</v>
      </c>
      <c r="J339" s="135">
        <f t="shared" si="27"/>
        <v>0.999999999999999</v>
      </c>
      <c r="Q339">
        <f t="shared" si="24"/>
        <v>710178.09</v>
      </c>
      <c r="R339">
        <f t="shared" si="25"/>
        <v>700365.05</v>
      </c>
    </row>
    <row r="340" spans="9:18">
      <c r="I340" s="156">
        <f t="shared" si="26"/>
        <v>0</v>
      </c>
      <c r="J340" s="135">
        <f t="shared" si="27"/>
        <v>0.999999999999999</v>
      </c>
      <c r="Q340">
        <f t="shared" si="24"/>
        <v>710178.09</v>
      </c>
      <c r="R340">
        <f t="shared" si="25"/>
        <v>700365.05</v>
      </c>
    </row>
    <row r="341" spans="9:18">
      <c r="I341" s="156">
        <f t="shared" si="26"/>
        <v>0</v>
      </c>
      <c r="J341" s="135">
        <f t="shared" si="27"/>
        <v>0.999999999999999</v>
      </c>
      <c r="Q341">
        <f t="shared" si="24"/>
        <v>710178.09</v>
      </c>
      <c r="R341">
        <f t="shared" si="25"/>
        <v>700365.05</v>
      </c>
    </row>
    <row r="342" spans="9:18">
      <c r="I342" s="156">
        <f t="shared" si="26"/>
        <v>0</v>
      </c>
      <c r="J342" s="135">
        <f t="shared" si="27"/>
        <v>0.999999999999999</v>
      </c>
      <c r="Q342">
        <f t="shared" si="24"/>
        <v>710178.09</v>
      </c>
      <c r="R342">
        <f t="shared" si="25"/>
        <v>700365.05</v>
      </c>
    </row>
    <row r="343" spans="9:18">
      <c r="I343" s="156">
        <f t="shared" si="26"/>
        <v>0</v>
      </c>
      <c r="J343" s="135">
        <f t="shared" si="27"/>
        <v>0.999999999999999</v>
      </c>
      <c r="Q343">
        <f t="shared" si="24"/>
        <v>710178.09</v>
      </c>
      <c r="R343">
        <f t="shared" si="25"/>
        <v>700365.05</v>
      </c>
    </row>
    <row r="344" spans="9:18">
      <c r="I344" s="156">
        <f t="shared" si="26"/>
        <v>0</v>
      </c>
      <c r="J344" s="135">
        <f t="shared" si="27"/>
        <v>0.999999999999999</v>
      </c>
      <c r="Q344">
        <f t="shared" si="24"/>
        <v>710178.09</v>
      </c>
      <c r="R344">
        <f t="shared" si="25"/>
        <v>700365.05</v>
      </c>
    </row>
    <row r="345" spans="9:18">
      <c r="I345" s="156">
        <f t="shared" si="26"/>
        <v>0</v>
      </c>
      <c r="J345" s="135">
        <f t="shared" si="27"/>
        <v>0.999999999999999</v>
      </c>
      <c r="Q345">
        <f t="shared" si="24"/>
        <v>710178.09</v>
      </c>
      <c r="R345">
        <f t="shared" si="25"/>
        <v>700365.05</v>
      </c>
    </row>
    <row r="346" spans="9:18">
      <c r="I346" s="156">
        <f t="shared" si="26"/>
        <v>0</v>
      </c>
      <c r="J346" s="135">
        <f t="shared" si="27"/>
        <v>0.999999999999999</v>
      </c>
      <c r="Q346">
        <f t="shared" si="24"/>
        <v>710178.09</v>
      </c>
      <c r="R346">
        <f t="shared" si="25"/>
        <v>700365.05</v>
      </c>
    </row>
    <row r="347" spans="9:18">
      <c r="I347" s="156">
        <f t="shared" si="26"/>
        <v>0</v>
      </c>
      <c r="J347" s="135">
        <f t="shared" si="27"/>
        <v>0.999999999999999</v>
      </c>
      <c r="Q347">
        <f t="shared" si="24"/>
        <v>710178.09</v>
      </c>
      <c r="R347">
        <f t="shared" si="25"/>
        <v>700365.05</v>
      </c>
    </row>
    <row r="348" spans="9:18">
      <c r="I348" s="156">
        <f t="shared" si="26"/>
        <v>0</v>
      </c>
      <c r="J348" s="135">
        <f t="shared" si="27"/>
        <v>0.999999999999999</v>
      </c>
      <c r="Q348">
        <f t="shared" si="24"/>
        <v>710178.09</v>
      </c>
      <c r="R348">
        <f t="shared" si="25"/>
        <v>700365.05</v>
      </c>
    </row>
    <row r="349" spans="9:18">
      <c r="I349" s="156">
        <f t="shared" si="26"/>
        <v>0</v>
      </c>
      <c r="J349" s="135">
        <f t="shared" si="27"/>
        <v>0.999999999999999</v>
      </c>
      <c r="Q349">
        <f t="shared" si="24"/>
        <v>710178.09</v>
      </c>
      <c r="R349">
        <f t="shared" si="25"/>
        <v>700365.05</v>
      </c>
    </row>
    <row r="350" spans="9:18">
      <c r="I350" s="156">
        <f t="shared" si="26"/>
        <v>0</v>
      </c>
      <c r="J350" s="135">
        <f t="shared" si="27"/>
        <v>0.999999999999999</v>
      </c>
      <c r="Q350">
        <f t="shared" si="24"/>
        <v>710178.09</v>
      </c>
      <c r="R350">
        <f t="shared" si="25"/>
        <v>700365.05</v>
      </c>
    </row>
    <row r="351" spans="9:18">
      <c r="I351" s="156">
        <f t="shared" si="26"/>
        <v>0</v>
      </c>
      <c r="J351" s="135">
        <f t="shared" si="27"/>
        <v>0.999999999999999</v>
      </c>
      <c r="Q351">
        <f t="shared" si="24"/>
        <v>710178.09</v>
      </c>
      <c r="R351">
        <f t="shared" si="25"/>
        <v>700365.05</v>
      </c>
    </row>
    <row r="352" spans="9:18">
      <c r="I352" s="156">
        <f t="shared" si="26"/>
        <v>0</v>
      </c>
      <c r="J352" s="135">
        <f t="shared" si="27"/>
        <v>0.999999999999999</v>
      </c>
      <c r="Q352">
        <f t="shared" si="24"/>
        <v>710178.09</v>
      </c>
      <c r="R352">
        <f t="shared" si="25"/>
        <v>700365.05</v>
      </c>
    </row>
    <row r="353" spans="9:18">
      <c r="I353" s="156">
        <f t="shared" si="26"/>
        <v>0</v>
      </c>
      <c r="J353" s="135">
        <f t="shared" si="27"/>
        <v>0.999999999999999</v>
      </c>
      <c r="Q353">
        <f t="shared" si="24"/>
        <v>710178.09</v>
      </c>
      <c r="R353">
        <f t="shared" si="25"/>
        <v>700365.05</v>
      </c>
    </row>
    <row r="354" spans="9:18">
      <c r="I354" s="156">
        <f t="shared" si="26"/>
        <v>0</v>
      </c>
      <c r="J354" s="135">
        <f t="shared" si="27"/>
        <v>0.999999999999999</v>
      </c>
      <c r="Q354">
        <f t="shared" si="24"/>
        <v>710178.09</v>
      </c>
      <c r="R354">
        <f t="shared" si="25"/>
        <v>700365.05</v>
      </c>
    </row>
    <row r="355" spans="9:18">
      <c r="I355" s="156">
        <f t="shared" si="26"/>
        <v>0</v>
      </c>
      <c r="J355" s="135">
        <f t="shared" si="27"/>
        <v>0.999999999999999</v>
      </c>
      <c r="Q355">
        <f t="shared" si="24"/>
        <v>710178.09</v>
      </c>
      <c r="R355">
        <f t="shared" si="25"/>
        <v>700365.05</v>
      </c>
    </row>
    <row r="356" spans="9:18">
      <c r="I356" s="156">
        <f t="shared" si="26"/>
        <v>0</v>
      </c>
      <c r="J356" s="135">
        <f t="shared" si="27"/>
        <v>0.999999999999999</v>
      </c>
      <c r="Q356">
        <f t="shared" si="24"/>
        <v>710178.09</v>
      </c>
      <c r="R356">
        <f t="shared" si="25"/>
        <v>700365.05</v>
      </c>
    </row>
    <row r="357" spans="9:18">
      <c r="I357" s="156">
        <f t="shared" si="26"/>
        <v>0</v>
      </c>
      <c r="J357" s="135">
        <f t="shared" si="27"/>
        <v>0.999999999999999</v>
      </c>
      <c r="Q357">
        <f t="shared" si="24"/>
        <v>710178.09</v>
      </c>
      <c r="R357">
        <f t="shared" si="25"/>
        <v>700365.05</v>
      </c>
    </row>
    <row r="358" spans="9:18">
      <c r="I358" s="156">
        <f t="shared" si="26"/>
        <v>0</v>
      </c>
      <c r="J358" s="135">
        <f t="shared" si="27"/>
        <v>0.999999999999999</v>
      </c>
      <c r="Q358">
        <f t="shared" si="24"/>
        <v>710178.09</v>
      </c>
      <c r="R358">
        <f t="shared" si="25"/>
        <v>700365.05</v>
      </c>
    </row>
    <row r="359" spans="9:18">
      <c r="I359" s="156">
        <f t="shared" si="26"/>
        <v>0</v>
      </c>
      <c r="J359" s="135">
        <f t="shared" si="27"/>
        <v>0.999999999999999</v>
      </c>
      <c r="Q359">
        <f t="shared" si="24"/>
        <v>710178.09</v>
      </c>
      <c r="R359">
        <f t="shared" si="25"/>
        <v>700365.05</v>
      </c>
    </row>
    <row r="360" spans="9:18">
      <c r="I360" s="156">
        <f t="shared" si="26"/>
        <v>0</v>
      </c>
      <c r="J360" s="135">
        <f t="shared" si="27"/>
        <v>0.999999999999999</v>
      </c>
      <c r="Q360">
        <f t="shared" si="24"/>
        <v>710178.09</v>
      </c>
      <c r="R360">
        <f t="shared" si="25"/>
        <v>700365.05</v>
      </c>
    </row>
    <row r="361" spans="9:18">
      <c r="I361" s="156">
        <f t="shared" si="26"/>
        <v>0</v>
      </c>
      <c r="J361" s="135">
        <f t="shared" si="27"/>
        <v>0.999999999999999</v>
      </c>
      <c r="Q361">
        <f t="shared" si="24"/>
        <v>710178.09</v>
      </c>
      <c r="R361">
        <f t="shared" si="25"/>
        <v>700365.05</v>
      </c>
    </row>
    <row r="362" spans="9:18">
      <c r="I362" s="156">
        <f t="shared" si="26"/>
        <v>0</v>
      </c>
      <c r="J362" s="135">
        <f t="shared" si="27"/>
        <v>0.999999999999999</v>
      </c>
      <c r="Q362">
        <f t="shared" si="24"/>
        <v>710178.09</v>
      </c>
      <c r="R362">
        <f t="shared" si="25"/>
        <v>700365.05</v>
      </c>
    </row>
    <row r="363" spans="9:18">
      <c r="I363" s="156">
        <f t="shared" si="26"/>
        <v>0</v>
      </c>
      <c r="J363" s="135">
        <f t="shared" si="27"/>
        <v>0.999999999999999</v>
      </c>
      <c r="Q363">
        <f t="shared" si="24"/>
        <v>710178.09</v>
      </c>
      <c r="R363">
        <f t="shared" si="25"/>
        <v>700365.05</v>
      </c>
    </row>
    <row r="364" spans="9:18">
      <c r="I364" s="156">
        <f t="shared" si="26"/>
        <v>0</v>
      </c>
      <c r="J364" s="135">
        <f t="shared" si="27"/>
        <v>0.999999999999999</v>
      </c>
      <c r="Q364">
        <f t="shared" si="24"/>
        <v>710178.09</v>
      </c>
      <c r="R364">
        <f t="shared" si="25"/>
        <v>700365.05</v>
      </c>
    </row>
    <row r="365" spans="9:18">
      <c r="I365" s="156">
        <f t="shared" si="26"/>
        <v>0</v>
      </c>
      <c r="J365" s="135">
        <f t="shared" si="27"/>
        <v>0.999999999999999</v>
      </c>
      <c r="Q365">
        <f t="shared" si="24"/>
        <v>710178.09</v>
      </c>
      <c r="R365">
        <f t="shared" si="25"/>
        <v>700365.05</v>
      </c>
    </row>
    <row r="366" spans="9:18">
      <c r="I366" s="156">
        <f t="shared" si="26"/>
        <v>0</v>
      </c>
      <c r="J366" s="135">
        <f t="shared" si="27"/>
        <v>0.999999999999999</v>
      </c>
      <c r="Q366">
        <f t="shared" si="24"/>
        <v>710178.09</v>
      </c>
      <c r="R366">
        <f t="shared" si="25"/>
        <v>700365.05</v>
      </c>
    </row>
    <row r="367" spans="9:18">
      <c r="I367" s="156">
        <f t="shared" si="26"/>
        <v>0</v>
      </c>
      <c r="J367" s="135">
        <f t="shared" si="27"/>
        <v>0.999999999999999</v>
      </c>
      <c r="Q367">
        <f t="shared" si="24"/>
        <v>710178.09</v>
      </c>
      <c r="R367">
        <f t="shared" si="25"/>
        <v>700365.05</v>
      </c>
    </row>
    <row r="368" spans="9:18">
      <c r="I368" s="156">
        <f t="shared" si="26"/>
        <v>0</v>
      </c>
      <c r="J368" s="135">
        <f t="shared" si="27"/>
        <v>0.999999999999999</v>
      </c>
      <c r="Q368">
        <f t="shared" si="24"/>
        <v>710178.09</v>
      </c>
      <c r="R368">
        <f t="shared" si="25"/>
        <v>700365.05</v>
      </c>
    </row>
    <row r="369" spans="9:18">
      <c r="I369" s="156">
        <f t="shared" si="26"/>
        <v>0</v>
      </c>
      <c r="J369" s="135">
        <f t="shared" si="27"/>
        <v>0.999999999999999</v>
      </c>
      <c r="Q369">
        <f t="shared" si="24"/>
        <v>710178.09</v>
      </c>
      <c r="R369">
        <f t="shared" si="25"/>
        <v>700365.05</v>
      </c>
    </row>
    <row r="370" spans="9:18">
      <c r="I370" s="156">
        <f t="shared" si="26"/>
        <v>0</v>
      </c>
      <c r="J370" s="135">
        <f t="shared" si="27"/>
        <v>0.999999999999999</v>
      </c>
      <c r="Q370">
        <f t="shared" si="24"/>
        <v>710178.09</v>
      </c>
      <c r="R370">
        <f t="shared" si="25"/>
        <v>700365.05</v>
      </c>
    </row>
    <row r="371" spans="9:18">
      <c r="I371" s="156">
        <f t="shared" si="26"/>
        <v>0</v>
      </c>
      <c r="J371" s="135">
        <f t="shared" si="27"/>
        <v>0.999999999999999</v>
      </c>
      <c r="Q371">
        <f t="shared" si="24"/>
        <v>710178.09</v>
      </c>
      <c r="R371">
        <f t="shared" si="25"/>
        <v>700365.05</v>
      </c>
    </row>
    <row r="372" spans="9:18">
      <c r="I372" s="156">
        <f t="shared" si="26"/>
        <v>0</v>
      </c>
      <c r="J372" s="135">
        <f t="shared" si="27"/>
        <v>0.999999999999999</v>
      </c>
      <c r="Q372">
        <f t="shared" si="24"/>
        <v>710178.09</v>
      </c>
      <c r="R372">
        <f t="shared" si="25"/>
        <v>700365.05</v>
      </c>
    </row>
    <row r="373" spans="9:18">
      <c r="I373" s="156">
        <f t="shared" si="26"/>
        <v>0</v>
      </c>
      <c r="J373" s="135">
        <f t="shared" si="27"/>
        <v>0.999999999999999</v>
      </c>
      <c r="Q373">
        <f t="shared" si="24"/>
        <v>710178.09</v>
      </c>
      <c r="R373">
        <f t="shared" si="25"/>
        <v>700365.05</v>
      </c>
    </row>
    <row r="374" spans="9:18">
      <c r="I374" s="156">
        <f t="shared" si="26"/>
        <v>0</v>
      </c>
      <c r="J374" s="135">
        <f t="shared" si="27"/>
        <v>0.999999999999999</v>
      </c>
      <c r="Q374">
        <f t="shared" si="24"/>
        <v>710178.09</v>
      </c>
      <c r="R374">
        <f t="shared" si="25"/>
        <v>700365.05</v>
      </c>
    </row>
    <row r="375" spans="9:18">
      <c r="I375" s="156">
        <f t="shared" si="26"/>
        <v>0</v>
      </c>
      <c r="J375" s="135">
        <f t="shared" si="27"/>
        <v>0.999999999999999</v>
      </c>
      <c r="Q375">
        <f t="shared" si="24"/>
        <v>710178.09</v>
      </c>
      <c r="R375">
        <f t="shared" si="25"/>
        <v>700365.05</v>
      </c>
    </row>
    <row r="376" spans="9:18">
      <c r="I376" s="156">
        <f t="shared" si="26"/>
        <v>0</v>
      </c>
      <c r="J376" s="135">
        <f t="shared" si="27"/>
        <v>0.999999999999999</v>
      </c>
      <c r="Q376">
        <f t="shared" si="24"/>
        <v>710178.09</v>
      </c>
      <c r="R376">
        <f t="shared" si="25"/>
        <v>700365.05</v>
      </c>
    </row>
    <row r="377" spans="9:18">
      <c r="I377" s="156">
        <f t="shared" si="26"/>
        <v>0</v>
      </c>
      <c r="J377" s="135">
        <f t="shared" si="27"/>
        <v>0.999999999999999</v>
      </c>
      <c r="Q377">
        <f t="shared" si="24"/>
        <v>710178.09</v>
      </c>
      <c r="R377">
        <f t="shared" si="25"/>
        <v>700365.05</v>
      </c>
    </row>
    <row r="378" spans="9:18">
      <c r="I378" s="156">
        <f t="shared" si="26"/>
        <v>0</v>
      </c>
      <c r="J378" s="135">
        <f t="shared" si="27"/>
        <v>0.999999999999999</v>
      </c>
      <c r="Q378">
        <f t="shared" si="24"/>
        <v>710178.09</v>
      </c>
      <c r="R378">
        <f t="shared" si="25"/>
        <v>700365.05</v>
      </c>
    </row>
    <row r="379" spans="9:18">
      <c r="I379" s="156">
        <f t="shared" si="26"/>
        <v>0</v>
      </c>
      <c r="J379" s="135">
        <f t="shared" si="27"/>
        <v>0.999999999999999</v>
      </c>
      <c r="Q379">
        <f t="shared" si="24"/>
        <v>710178.09</v>
      </c>
      <c r="R379">
        <f t="shared" si="25"/>
        <v>700365.05</v>
      </c>
    </row>
    <row r="380" spans="9:18">
      <c r="I380" s="156">
        <f t="shared" si="26"/>
        <v>0</v>
      </c>
      <c r="J380" s="135">
        <f t="shared" si="27"/>
        <v>0.999999999999999</v>
      </c>
      <c r="Q380">
        <f t="shared" si="24"/>
        <v>710178.09</v>
      </c>
      <c r="R380">
        <f t="shared" si="25"/>
        <v>700365.05</v>
      </c>
    </row>
    <row r="381" spans="9:18">
      <c r="I381" s="156">
        <f t="shared" si="26"/>
        <v>0</v>
      </c>
      <c r="J381" s="135">
        <f t="shared" si="27"/>
        <v>0.999999999999999</v>
      </c>
      <c r="Q381">
        <f t="shared" si="24"/>
        <v>710178.09</v>
      </c>
      <c r="R381">
        <f t="shared" si="25"/>
        <v>700365.05</v>
      </c>
    </row>
    <row r="382" spans="9:18">
      <c r="I382" s="156">
        <f t="shared" si="26"/>
        <v>0</v>
      </c>
      <c r="J382" s="135">
        <f t="shared" si="27"/>
        <v>0.999999999999999</v>
      </c>
      <c r="Q382">
        <f t="shared" si="24"/>
        <v>710178.09</v>
      </c>
      <c r="R382">
        <f t="shared" si="25"/>
        <v>700365.05</v>
      </c>
    </row>
    <row r="383" spans="9:18">
      <c r="I383" s="156">
        <f t="shared" si="26"/>
        <v>0</v>
      </c>
      <c r="J383" s="135">
        <f t="shared" si="27"/>
        <v>0.999999999999999</v>
      </c>
      <c r="Q383">
        <f t="shared" si="24"/>
        <v>710178.09</v>
      </c>
      <c r="R383">
        <f t="shared" si="25"/>
        <v>700365.05</v>
      </c>
    </row>
    <row r="384" spans="9:18">
      <c r="I384" s="156">
        <f t="shared" si="26"/>
        <v>0</v>
      </c>
      <c r="J384" s="135">
        <f t="shared" si="27"/>
        <v>0.999999999999999</v>
      </c>
      <c r="Q384">
        <f t="shared" si="24"/>
        <v>710178.09</v>
      </c>
      <c r="R384">
        <f t="shared" si="25"/>
        <v>700365.05</v>
      </c>
    </row>
    <row r="385" spans="9:18">
      <c r="I385" s="156">
        <f t="shared" si="26"/>
        <v>0</v>
      </c>
      <c r="J385" s="135">
        <f t="shared" si="27"/>
        <v>0.999999999999999</v>
      </c>
      <c r="Q385">
        <f t="shared" si="24"/>
        <v>710178.09</v>
      </c>
      <c r="R385">
        <f t="shared" si="25"/>
        <v>700365.05</v>
      </c>
    </row>
    <row r="386" spans="9:18">
      <c r="I386" s="156">
        <f t="shared" si="26"/>
        <v>0</v>
      </c>
      <c r="J386" s="135">
        <f t="shared" si="27"/>
        <v>0.999999999999999</v>
      </c>
      <c r="Q386">
        <f t="shared" si="24"/>
        <v>710178.09</v>
      </c>
      <c r="R386">
        <f t="shared" si="25"/>
        <v>700365.05</v>
      </c>
    </row>
    <row r="387" spans="9:18">
      <c r="I387" s="156">
        <f t="shared" si="26"/>
        <v>0</v>
      </c>
      <c r="J387" s="135">
        <f t="shared" si="27"/>
        <v>0.999999999999999</v>
      </c>
      <c r="Q387">
        <f t="shared" si="24"/>
        <v>710178.09</v>
      </c>
      <c r="R387">
        <f t="shared" si="25"/>
        <v>700365.05</v>
      </c>
    </row>
    <row r="388" spans="9:18">
      <c r="I388" s="156">
        <f t="shared" si="26"/>
        <v>0</v>
      </c>
      <c r="J388" s="135">
        <f t="shared" si="27"/>
        <v>0.999999999999999</v>
      </c>
      <c r="Q388">
        <f t="shared" si="24"/>
        <v>710178.09</v>
      </c>
      <c r="R388">
        <f t="shared" si="25"/>
        <v>700365.05</v>
      </c>
    </row>
    <row r="389" spans="9:18">
      <c r="I389" s="156">
        <f t="shared" si="26"/>
        <v>0</v>
      </c>
      <c r="J389" s="135">
        <f t="shared" si="27"/>
        <v>0.999999999999999</v>
      </c>
      <c r="Q389">
        <f t="shared" si="24"/>
        <v>710178.09</v>
      </c>
      <c r="R389">
        <f t="shared" si="25"/>
        <v>700365.05</v>
      </c>
    </row>
    <row r="390" spans="9:18">
      <c r="I390" s="156">
        <f t="shared" si="26"/>
        <v>0</v>
      </c>
      <c r="J390" s="135">
        <f t="shared" si="27"/>
        <v>0.999999999999999</v>
      </c>
      <c r="Q390">
        <f t="shared" si="24"/>
        <v>710178.09</v>
      </c>
      <c r="R390">
        <f t="shared" si="25"/>
        <v>700365.05</v>
      </c>
    </row>
    <row r="391" spans="9:18">
      <c r="I391" s="156">
        <f t="shared" si="26"/>
        <v>0</v>
      </c>
      <c r="J391" s="135">
        <f t="shared" si="27"/>
        <v>0.999999999999999</v>
      </c>
      <c r="Q391">
        <f t="shared" si="24"/>
        <v>710178.09</v>
      </c>
      <c r="R391">
        <f t="shared" si="25"/>
        <v>700365.05</v>
      </c>
    </row>
    <row r="392" spans="9:18">
      <c r="I392" s="156">
        <f t="shared" si="26"/>
        <v>0</v>
      </c>
      <c r="J392" s="135">
        <f t="shared" si="27"/>
        <v>0.999999999999999</v>
      </c>
      <c r="Q392">
        <f t="shared" ref="Q392:Q410" si="28">$Q$7</f>
        <v>710178.09</v>
      </c>
      <c r="R392">
        <f t="shared" ref="R392:R413" si="29">$R$7</f>
        <v>700365.05</v>
      </c>
    </row>
    <row r="393" spans="9:18">
      <c r="I393" s="156">
        <f t="shared" si="26"/>
        <v>0</v>
      </c>
      <c r="J393" s="135">
        <f t="shared" si="27"/>
        <v>0.999999999999999</v>
      </c>
      <c r="Q393">
        <f t="shared" si="28"/>
        <v>710178.09</v>
      </c>
      <c r="R393">
        <f t="shared" si="29"/>
        <v>700365.05</v>
      </c>
    </row>
    <row r="394" spans="9:18">
      <c r="I394" s="156">
        <f t="shared" ref="I394:I416" si="30">H394/$R$7</f>
        <v>0</v>
      </c>
      <c r="J394" s="135">
        <f t="shared" si="27"/>
        <v>0.999999999999999</v>
      </c>
      <c r="Q394">
        <f t="shared" si="28"/>
        <v>710178.09</v>
      </c>
      <c r="R394">
        <f t="shared" si="29"/>
        <v>700365.05</v>
      </c>
    </row>
    <row r="395" spans="9:18">
      <c r="I395" s="156">
        <f t="shared" si="30"/>
        <v>0</v>
      </c>
      <c r="J395" s="135">
        <f t="shared" ref="J395:J416" si="31">I395+J394</f>
        <v>0.999999999999999</v>
      </c>
      <c r="Q395">
        <f t="shared" si="28"/>
        <v>710178.09</v>
      </c>
      <c r="R395">
        <f t="shared" si="29"/>
        <v>700365.05</v>
      </c>
    </row>
    <row r="396" spans="9:18">
      <c r="I396" s="156">
        <f t="shared" si="30"/>
        <v>0</v>
      </c>
      <c r="J396" s="135">
        <f t="shared" si="31"/>
        <v>0.999999999999999</v>
      </c>
      <c r="Q396">
        <f t="shared" si="28"/>
        <v>710178.09</v>
      </c>
      <c r="R396">
        <f t="shared" si="29"/>
        <v>700365.05</v>
      </c>
    </row>
    <row r="397" spans="9:18">
      <c r="I397" s="156">
        <f t="shared" si="30"/>
        <v>0</v>
      </c>
      <c r="J397" s="135">
        <f t="shared" si="31"/>
        <v>0.999999999999999</v>
      </c>
      <c r="Q397">
        <f t="shared" si="28"/>
        <v>710178.09</v>
      </c>
      <c r="R397">
        <f t="shared" si="29"/>
        <v>700365.05</v>
      </c>
    </row>
    <row r="398" spans="9:18">
      <c r="I398" s="156">
        <f t="shared" si="30"/>
        <v>0</v>
      </c>
      <c r="J398" s="135">
        <f t="shared" si="31"/>
        <v>0.999999999999999</v>
      </c>
      <c r="Q398">
        <f t="shared" si="28"/>
        <v>710178.09</v>
      </c>
      <c r="R398">
        <f t="shared" si="29"/>
        <v>700365.05</v>
      </c>
    </row>
    <row r="399" spans="9:18">
      <c r="I399" s="156">
        <f t="shared" si="30"/>
        <v>0</v>
      </c>
      <c r="J399" s="135">
        <f t="shared" si="31"/>
        <v>0.999999999999999</v>
      </c>
      <c r="Q399">
        <f t="shared" si="28"/>
        <v>710178.09</v>
      </c>
      <c r="R399">
        <f t="shared" si="29"/>
        <v>700365.05</v>
      </c>
    </row>
    <row r="400" spans="9:18">
      <c r="I400" s="156">
        <f t="shared" si="30"/>
        <v>0</v>
      </c>
      <c r="J400" s="135">
        <f t="shared" si="31"/>
        <v>0.999999999999999</v>
      </c>
      <c r="Q400">
        <f t="shared" si="28"/>
        <v>710178.09</v>
      </c>
      <c r="R400">
        <f t="shared" si="29"/>
        <v>700365.05</v>
      </c>
    </row>
    <row r="401" spans="9:18">
      <c r="I401" s="156">
        <f t="shared" si="30"/>
        <v>0</v>
      </c>
      <c r="J401" s="135">
        <f t="shared" si="31"/>
        <v>0.999999999999999</v>
      </c>
      <c r="Q401">
        <f t="shared" si="28"/>
        <v>710178.09</v>
      </c>
      <c r="R401">
        <f t="shared" si="29"/>
        <v>700365.05</v>
      </c>
    </row>
    <row r="402" spans="9:18">
      <c r="I402" s="156">
        <f t="shared" si="30"/>
        <v>0</v>
      </c>
      <c r="J402" s="135">
        <f t="shared" si="31"/>
        <v>0.999999999999999</v>
      </c>
      <c r="Q402">
        <f t="shared" si="28"/>
        <v>710178.09</v>
      </c>
      <c r="R402">
        <f t="shared" si="29"/>
        <v>700365.05</v>
      </c>
    </row>
    <row r="403" spans="9:18">
      <c r="I403" s="156">
        <f t="shared" si="30"/>
        <v>0</v>
      </c>
      <c r="J403" s="135">
        <f t="shared" si="31"/>
        <v>0.999999999999999</v>
      </c>
      <c r="Q403">
        <f t="shared" si="28"/>
        <v>710178.09</v>
      </c>
      <c r="R403">
        <f t="shared" si="29"/>
        <v>700365.05</v>
      </c>
    </row>
    <row r="404" spans="9:18">
      <c r="I404" s="156">
        <f t="shared" si="30"/>
        <v>0</v>
      </c>
      <c r="J404" s="135">
        <f t="shared" si="31"/>
        <v>0.999999999999999</v>
      </c>
      <c r="Q404">
        <f t="shared" si="28"/>
        <v>710178.09</v>
      </c>
      <c r="R404">
        <f t="shared" si="29"/>
        <v>700365.05</v>
      </c>
    </row>
    <row r="405" spans="9:18">
      <c r="I405" s="156">
        <f t="shared" si="30"/>
        <v>0</v>
      </c>
      <c r="J405" s="135">
        <f t="shared" si="31"/>
        <v>0.999999999999999</v>
      </c>
      <c r="Q405">
        <f t="shared" si="28"/>
        <v>710178.09</v>
      </c>
      <c r="R405">
        <f t="shared" si="29"/>
        <v>700365.05</v>
      </c>
    </row>
    <row r="406" spans="9:18">
      <c r="I406" s="156">
        <f t="shared" si="30"/>
        <v>0</v>
      </c>
      <c r="J406" s="135">
        <f t="shared" si="31"/>
        <v>0.999999999999999</v>
      </c>
      <c r="Q406">
        <f t="shared" si="28"/>
        <v>710178.09</v>
      </c>
      <c r="R406">
        <f t="shared" si="29"/>
        <v>700365.05</v>
      </c>
    </row>
    <row r="407" spans="9:18">
      <c r="I407" s="156">
        <f t="shared" si="30"/>
        <v>0</v>
      </c>
      <c r="J407" s="135">
        <f t="shared" si="31"/>
        <v>0.999999999999999</v>
      </c>
      <c r="Q407">
        <f t="shared" si="28"/>
        <v>710178.09</v>
      </c>
      <c r="R407">
        <f t="shared" si="29"/>
        <v>700365.05</v>
      </c>
    </row>
    <row r="408" spans="9:18">
      <c r="I408" s="156">
        <f t="shared" si="30"/>
        <v>0</v>
      </c>
      <c r="J408" s="135">
        <f t="shared" si="31"/>
        <v>0.999999999999999</v>
      </c>
      <c r="Q408">
        <f t="shared" si="28"/>
        <v>710178.09</v>
      </c>
      <c r="R408">
        <f t="shared" si="29"/>
        <v>700365.05</v>
      </c>
    </row>
    <row r="409" spans="9:18">
      <c r="I409" s="156">
        <f t="shared" si="30"/>
        <v>0</v>
      </c>
      <c r="J409" s="135">
        <f t="shared" si="31"/>
        <v>0.999999999999999</v>
      </c>
      <c r="Q409">
        <f t="shared" si="28"/>
        <v>710178.09</v>
      </c>
      <c r="R409">
        <f t="shared" si="29"/>
        <v>700365.05</v>
      </c>
    </row>
    <row r="410" spans="9:18">
      <c r="I410" s="156">
        <f t="shared" si="30"/>
        <v>0</v>
      </c>
      <c r="J410" s="135">
        <f t="shared" si="31"/>
        <v>0.999999999999999</v>
      </c>
      <c r="Q410">
        <f t="shared" si="28"/>
        <v>710178.09</v>
      </c>
      <c r="R410">
        <f t="shared" si="29"/>
        <v>700365.05</v>
      </c>
    </row>
    <row r="411" spans="9:18">
      <c r="I411" s="156">
        <f t="shared" si="30"/>
        <v>0</v>
      </c>
      <c r="J411" s="135">
        <f t="shared" si="31"/>
        <v>0.999999999999999</v>
      </c>
      <c r="R411">
        <f t="shared" si="29"/>
        <v>700365.05</v>
      </c>
    </row>
    <row r="412" spans="9:18">
      <c r="I412" s="156">
        <f t="shared" si="30"/>
        <v>0</v>
      </c>
      <c r="J412" s="135">
        <f t="shared" si="31"/>
        <v>0.999999999999999</v>
      </c>
      <c r="R412">
        <f t="shared" si="29"/>
        <v>700365.05</v>
      </c>
    </row>
    <row r="413" spans="9:18">
      <c r="I413" s="156">
        <f t="shared" si="30"/>
        <v>0</v>
      </c>
      <c r="J413" s="135">
        <f t="shared" si="31"/>
        <v>0.999999999999999</v>
      </c>
      <c r="R413">
        <f t="shared" si="29"/>
        <v>700365.05</v>
      </c>
    </row>
    <row r="414" spans="9:10">
      <c r="I414" s="156">
        <f t="shared" si="30"/>
        <v>0</v>
      </c>
      <c r="J414" s="135">
        <f t="shared" si="31"/>
        <v>0.999999999999999</v>
      </c>
    </row>
    <row r="415" spans="9:10">
      <c r="I415" s="156">
        <f t="shared" si="30"/>
        <v>0</v>
      </c>
      <c r="J415" s="135">
        <f t="shared" si="31"/>
        <v>0.999999999999999</v>
      </c>
    </row>
    <row r="416" spans="9:10">
      <c r="I416" s="156">
        <f t="shared" si="30"/>
        <v>0</v>
      </c>
      <c r="J416" s="135">
        <f t="shared" si="31"/>
        <v>0.999999999999999</v>
      </c>
    </row>
  </sheetData>
  <autoFilter ref="C8:H416">
    <sortState ref="C8:H416">
      <sortCondition ref="H8:H416" descending="1"/>
    </sortState>
  </autoFilter>
  <mergeCells count="13">
    <mergeCell ref="C1:K1"/>
    <mergeCell ref="C3:K3"/>
    <mergeCell ref="G5:H5"/>
    <mergeCell ref="C5:C6"/>
    <mergeCell ref="D5:D6"/>
    <mergeCell ref="E5:E6"/>
    <mergeCell ref="F5:F6"/>
    <mergeCell ref="I5:I6"/>
    <mergeCell ref="J5:J6"/>
    <mergeCell ref="K5:K6"/>
    <mergeCell ref="K9:K51"/>
    <mergeCell ref="K52:K109"/>
    <mergeCell ref="K110:K245"/>
  </mergeCells>
  <pageMargins left="0.511805555555556" right="0.511805555555556" top="0.786805555555556" bottom="0.786805555555556" header="0.314583333333333" footer="0.314583333333333"/>
  <pageSetup paperSize="9" scale="82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19"/>
  <sheetViews>
    <sheetView view="pageBreakPreview" zoomScale="70" zoomScaleNormal="100" zoomScaleSheetLayoutView="70" topLeftCell="A112" workbookViewId="0">
      <selection activeCell="B115" sqref="B115"/>
    </sheetView>
  </sheetViews>
  <sheetFormatPr defaultColWidth="9" defaultRowHeight="15.75" outlineLevelCol="5"/>
  <cols>
    <col min="1" max="1" width="29" style="72" customWidth="1"/>
    <col min="2" max="6" width="30.8571428571429" style="72" customWidth="1"/>
    <col min="7" max="16384" width="9" style="73"/>
  </cols>
  <sheetData>
    <row r="1" ht="18.75" customHeight="1" spans="1:6">
      <c r="A1" s="74" t="s">
        <v>1443</v>
      </c>
      <c r="B1" s="75"/>
      <c r="C1" s="75"/>
      <c r="D1" s="75"/>
      <c r="E1" s="75"/>
      <c r="F1" s="75"/>
    </row>
    <row r="2" ht="8.25" customHeight="1" spans="1:6">
      <c r="A2" s="76"/>
      <c r="B2" s="76"/>
      <c r="C2" s="77"/>
      <c r="D2" s="76"/>
      <c r="E2" s="76"/>
      <c r="F2" s="78"/>
    </row>
    <row r="3" ht="24.75" customHeight="1" spans="1:6">
      <c r="A3" s="79" t="str">
        <f>'PB III - Orçamento Sintetico'!A4:G4</f>
        <v>OBRA: CONSTRUÇÃO DA SEDE DA DEFENSORIA PÚBLICA DO ESTADO DE RORAIMA NO MUNICIPIO DE ALTO ALEGRE - DPE/RR</v>
      </c>
      <c r="B3" s="80"/>
      <c r="C3" s="80"/>
      <c r="D3" s="80"/>
      <c r="E3" s="80"/>
      <c r="F3" s="80"/>
    </row>
    <row r="4" ht="8.25" customHeight="1" spans="1:6">
      <c r="A4" s="76"/>
      <c r="B4" s="76"/>
      <c r="C4" s="77"/>
      <c r="D4" s="76"/>
      <c r="E4" s="76"/>
      <c r="F4" s="78"/>
    </row>
    <row r="5" ht="4.5" customHeight="1" spans="1:6">
      <c r="A5" s="81"/>
      <c r="B5" s="81"/>
      <c r="C5" s="81"/>
      <c r="D5" s="81"/>
      <c r="E5" s="81"/>
      <c r="F5" s="81"/>
    </row>
    <row r="6" ht="16.5" spans="1:6">
      <c r="A6" s="82" t="s">
        <v>1444</v>
      </c>
      <c r="B6" s="83"/>
      <c r="C6" s="83"/>
      <c r="D6" s="83"/>
      <c r="E6" s="83"/>
      <c r="F6" s="84"/>
    </row>
    <row r="7" spans="1:6">
      <c r="A7" s="85" t="s">
        <v>1445</v>
      </c>
      <c r="B7" s="86" t="s">
        <v>1446</v>
      </c>
      <c r="C7" s="86" t="s">
        <v>1447</v>
      </c>
      <c r="D7" s="86" t="s">
        <v>1448</v>
      </c>
      <c r="E7" s="87"/>
      <c r="F7" s="88"/>
    </row>
    <row r="8" ht="111" customHeight="1" spans="1:6">
      <c r="A8" s="89" t="s">
        <v>801</v>
      </c>
      <c r="B8" s="90" t="s">
        <v>1449</v>
      </c>
      <c r="C8" s="90" t="s">
        <v>1450</v>
      </c>
      <c r="D8" s="90" t="s">
        <v>1451</v>
      </c>
      <c r="E8" s="91"/>
      <c r="F8" s="92" t="s">
        <v>1452</v>
      </c>
    </row>
    <row r="9" ht="48" spans="1:6">
      <c r="A9" s="93" t="s">
        <v>1453</v>
      </c>
      <c r="B9" s="94">
        <v>148.99</v>
      </c>
      <c r="C9" s="95">
        <v>85</v>
      </c>
      <c r="D9" s="96">
        <f>ROUND(115.52+(421.42/76),2)</f>
        <v>121.07</v>
      </c>
      <c r="E9" s="91"/>
      <c r="F9" s="97">
        <v>121.07</v>
      </c>
    </row>
    <row r="10" ht="16.5" spans="1:6">
      <c r="A10" s="98"/>
      <c r="B10" s="99"/>
      <c r="C10" s="100"/>
      <c r="D10" s="101"/>
      <c r="E10" s="102"/>
      <c r="F10" s="102"/>
    </row>
    <row r="11" spans="1:6">
      <c r="A11" s="85" t="s">
        <v>1454</v>
      </c>
      <c r="B11" s="86" t="s">
        <v>1446</v>
      </c>
      <c r="C11" s="86" t="s">
        <v>1447</v>
      </c>
      <c r="D11" s="86" t="s">
        <v>1448</v>
      </c>
      <c r="E11" s="86" t="s">
        <v>1455</v>
      </c>
      <c r="F11" s="88"/>
    </row>
    <row r="12" ht="94.5" spans="1:6">
      <c r="A12" s="89" t="s">
        <v>801</v>
      </c>
      <c r="B12" s="90" t="s">
        <v>1456</v>
      </c>
      <c r="C12" s="90" t="s">
        <v>1457</v>
      </c>
      <c r="D12" s="103" t="s">
        <v>1450</v>
      </c>
      <c r="E12" s="90" t="s">
        <v>1451</v>
      </c>
      <c r="F12" s="92" t="s">
        <v>1452</v>
      </c>
    </row>
    <row r="13" ht="32.25" spans="1:6">
      <c r="A13" s="93" t="s">
        <v>1458</v>
      </c>
      <c r="B13" s="94">
        <v>130.4</v>
      </c>
      <c r="C13" s="95">
        <v>81.46</v>
      </c>
      <c r="D13" s="104">
        <v>95</v>
      </c>
      <c r="E13" s="96">
        <f>ROUND(112.7+(421.42/76),2)</f>
        <v>118.25</v>
      </c>
      <c r="F13" s="97">
        <f>ROUND(MEDIAN(B13:E13),2)</f>
        <v>106.63</v>
      </c>
    </row>
    <row r="14" ht="16.5" spans="1:6">
      <c r="A14" s="98"/>
      <c r="B14" s="105"/>
      <c r="C14" s="105"/>
      <c r="D14" s="105"/>
      <c r="E14" s="105"/>
      <c r="F14" s="102"/>
    </row>
    <row r="15" spans="1:6">
      <c r="A15" s="85" t="s">
        <v>1459</v>
      </c>
      <c r="B15" s="86" t="s">
        <v>1446</v>
      </c>
      <c r="C15" s="86" t="s">
        <v>1447</v>
      </c>
      <c r="D15" s="86" t="s">
        <v>1448</v>
      </c>
      <c r="E15" s="86" t="s">
        <v>1455</v>
      </c>
      <c r="F15" s="88"/>
    </row>
    <row r="16" ht="94.5" spans="1:6">
      <c r="A16" s="106" t="s">
        <v>801</v>
      </c>
      <c r="B16" s="90" t="s">
        <v>1460</v>
      </c>
      <c r="C16" s="90" t="s">
        <v>1457</v>
      </c>
      <c r="D16" s="103" t="s">
        <v>1461</v>
      </c>
      <c r="E16" s="103" t="s">
        <v>1449</v>
      </c>
      <c r="F16" s="92" t="s">
        <v>1452</v>
      </c>
    </row>
    <row r="17" ht="32.25" spans="1:6">
      <c r="A17" s="93" t="s">
        <v>1462</v>
      </c>
      <c r="B17" s="107">
        <v>61.44</v>
      </c>
      <c r="C17" s="108">
        <v>25.59</v>
      </c>
      <c r="D17" s="109">
        <v>26.81</v>
      </c>
      <c r="E17" s="109">
        <v>53.25</v>
      </c>
      <c r="F17" s="97">
        <f>ROUND(MEDIAN(B17:E17),2)</f>
        <v>40.03</v>
      </c>
    </row>
    <row r="18" ht="16.5" spans="1:6">
      <c r="A18" s="98"/>
      <c r="B18" s="99"/>
      <c r="C18" s="100"/>
      <c r="D18" s="101"/>
      <c r="E18" s="102"/>
      <c r="F18" s="102"/>
    </row>
    <row r="19" spans="1:6">
      <c r="A19" s="85" t="s">
        <v>1463</v>
      </c>
      <c r="B19" s="86" t="s">
        <v>1446</v>
      </c>
      <c r="C19" s="86" t="s">
        <v>1447</v>
      </c>
      <c r="D19" s="86" t="s">
        <v>1448</v>
      </c>
      <c r="E19" s="86"/>
      <c r="F19" s="110"/>
    </row>
    <row r="20" ht="94.5" spans="1:6">
      <c r="A20" s="106" t="s">
        <v>801</v>
      </c>
      <c r="B20" s="90" t="s">
        <v>1456</v>
      </c>
      <c r="C20" s="90" t="s">
        <v>1457</v>
      </c>
      <c r="D20" s="103" t="s">
        <v>1461</v>
      </c>
      <c r="E20" s="103"/>
      <c r="F20" s="92" t="s">
        <v>1452</v>
      </c>
    </row>
    <row r="21" ht="32.25" spans="1:6">
      <c r="A21" s="93" t="s">
        <v>1464</v>
      </c>
      <c r="B21" s="111">
        <v>87</v>
      </c>
      <c r="C21" s="95">
        <v>85.42</v>
      </c>
      <c r="D21" s="96">
        <v>73.63</v>
      </c>
      <c r="E21" s="103"/>
      <c r="F21" s="97">
        <f>ROUND(MEDIAN(B21:E21),2)</f>
        <v>85.42</v>
      </c>
    </row>
    <row r="22" ht="16.5" spans="1:6">
      <c r="A22" s="112"/>
      <c r="B22" s="98"/>
      <c r="C22" s="113"/>
      <c r="D22" s="114"/>
      <c r="E22" s="102"/>
      <c r="F22" s="102"/>
    </row>
    <row r="23" spans="1:6">
      <c r="A23" s="115" t="s">
        <v>1465</v>
      </c>
      <c r="B23" s="86" t="s">
        <v>1446</v>
      </c>
      <c r="C23" s="86" t="s">
        <v>1447</v>
      </c>
      <c r="D23" s="86" t="s">
        <v>1448</v>
      </c>
      <c r="E23" s="86" t="s">
        <v>1455</v>
      </c>
      <c r="F23" s="110"/>
    </row>
    <row r="24" ht="94.5" spans="1:6">
      <c r="A24" s="116" t="s">
        <v>801</v>
      </c>
      <c r="B24" s="90" t="s">
        <v>1457</v>
      </c>
      <c r="C24" s="90" t="s">
        <v>1461</v>
      </c>
      <c r="D24" s="103" t="s">
        <v>1449</v>
      </c>
      <c r="E24" s="103" t="s">
        <v>1450</v>
      </c>
      <c r="F24" s="92" t="s">
        <v>1452</v>
      </c>
    </row>
    <row r="25" ht="48.95" customHeight="1" spans="1:6">
      <c r="A25" s="117" t="s">
        <v>1466</v>
      </c>
      <c r="B25" s="94">
        <v>23.77</v>
      </c>
      <c r="C25" s="95">
        <v>24.53</v>
      </c>
      <c r="D25" s="96">
        <v>29.79</v>
      </c>
      <c r="E25" s="118">
        <v>29</v>
      </c>
      <c r="F25" s="97">
        <f>ROUND(MEDIAN(B25:E25),2)</f>
        <v>26.77</v>
      </c>
    </row>
    <row r="26" ht="16.5" spans="1:6">
      <c r="A26" s="112"/>
      <c r="B26" s="98"/>
      <c r="C26" s="113"/>
      <c r="D26" s="101"/>
      <c r="E26" s="102"/>
      <c r="F26" s="102"/>
    </row>
    <row r="27" spans="1:6">
      <c r="A27" s="119" t="s">
        <v>1467</v>
      </c>
      <c r="B27" s="120" t="s">
        <v>1446</v>
      </c>
      <c r="C27" s="121" t="s">
        <v>1447</v>
      </c>
      <c r="D27" s="121" t="s">
        <v>1448</v>
      </c>
      <c r="E27" s="121" t="s">
        <v>1455</v>
      </c>
      <c r="F27" s="110"/>
    </row>
    <row r="28" ht="94.5" spans="1:6">
      <c r="A28" s="116" t="s">
        <v>801</v>
      </c>
      <c r="B28" s="103" t="s">
        <v>1449</v>
      </c>
      <c r="C28" s="90"/>
      <c r="D28" s="103"/>
      <c r="E28" s="103"/>
      <c r="F28" s="92" t="s">
        <v>1452</v>
      </c>
    </row>
    <row r="29" ht="78.75" spans="1:6">
      <c r="A29" s="117" t="s">
        <v>1468</v>
      </c>
      <c r="B29" s="94">
        <v>211.99</v>
      </c>
      <c r="C29" s="95"/>
      <c r="D29" s="103"/>
      <c r="E29" s="103"/>
      <c r="F29" s="97">
        <f>ROUND(MEDIAN(B29:E29),2)</f>
        <v>211.99</v>
      </c>
    </row>
    <row r="30" ht="16.5" spans="1:6">
      <c r="A30" s="112"/>
      <c r="B30" s="98"/>
      <c r="C30" s="113"/>
      <c r="D30" s="101"/>
      <c r="E30" s="102"/>
      <c r="F30" s="102"/>
    </row>
    <row r="31" spans="1:6">
      <c r="A31" s="85" t="s">
        <v>1469</v>
      </c>
      <c r="B31" s="120" t="s">
        <v>1446</v>
      </c>
      <c r="C31" s="120" t="s">
        <v>1447</v>
      </c>
      <c r="D31" s="121"/>
      <c r="E31" s="121"/>
      <c r="F31" s="110"/>
    </row>
    <row r="32" ht="110.25" spans="1:6">
      <c r="A32" s="116" t="s">
        <v>801</v>
      </c>
      <c r="B32" s="90" t="s">
        <v>1457</v>
      </c>
      <c r="C32" s="90" t="s">
        <v>1450</v>
      </c>
      <c r="D32" s="103" t="s">
        <v>1470</v>
      </c>
      <c r="E32" s="103"/>
      <c r="F32" s="92" t="s">
        <v>1452</v>
      </c>
    </row>
    <row r="33" ht="63" spans="1:6">
      <c r="A33" s="117" t="s">
        <v>1471</v>
      </c>
      <c r="B33" s="94">
        <v>49.39</v>
      </c>
      <c r="C33" s="95">
        <v>45</v>
      </c>
      <c r="D33" s="96">
        <f>ROUND(75.93+(135.13/19),2)</f>
        <v>83.04</v>
      </c>
      <c r="E33" s="103"/>
      <c r="F33" s="97">
        <f>ROUND(MEDIAN(B33:E33),2)</f>
        <v>49.39</v>
      </c>
    </row>
    <row r="34" ht="16.5" spans="1:6">
      <c r="A34" s="112"/>
      <c r="B34" s="98"/>
      <c r="C34" s="113"/>
      <c r="D34" s="114"/>
      <c r="E34" s="102"/>
      <c r="F34" s="102"/>
    </row>
    <row r="35" spans="1:6">
      <c r="A35" s="85" t="s">
        <v>1472</v>
      </c>
      <c r="B35" s="120" t="s">
        <v>1446</v>
      </c>
      <c r="C35" s="120" t="s">
        <v>1447</v>
      </c>
      <c r="D35" s="120" t="s">
        <v>1448</v>
      </c>
      <c r="E35" s="120" t="s">
        <v>1455</v>
      </c>
      <c r="F35" s="122"/>
    </row>
    <row r="36" ht="94.5" spans="1:6">
      <c r="A36" s="116" t="s">
        <v>801</v>
      </c>
      <c r="B36" s="90" t="s">
        <v>1460</v>
      </c>
      <c r="C36" s="90" t="s">
        <v>1456</v>
      </c>
      <c r="D36" s="103" t="s">
        <v>1457</v>
      </c>
      <c r="E36" s="103" t="s">
        <v>1461</v>
      </c>
      <c r="F36" s="92" t="s">
        <v>1452</v>
      </c>
    </row>
    <row r="37" ht="47.25" spans="1:6">
      <c r="A37" s="117" t="s">
        <v>651</v>
      </c>
      <c r="B37" s="94">
        <v>108.77</v>
      </c>
      <c r="C37" s="95">
        <v>85</v>
      </c>
      <c r="D37" s="96">
        <v>96.28</v>
      </c>
      <c r="E37" s="96">
        <v>97.47</v>
      </c>
      <c r="F37" s="97">
        <f>ROUND(MEDIAN(B37:E37),2)</f>
        <v>96.88</v>
      </c>
    </row>
    <row r="38" ht="16.5" spans="1:6">
      <c r="A38" s="112"/>
      <c r="B38" s="98"/>
      <c r="C38" s="113"/>
      <c r="D38" s="101"/>
      <c r="E38" s="102"/>
      <c r="F38" s="102"/>
    </row>
    <row r="39" spans="1:6">
      <c r="A39" s="119" t="s">
        <v>1473</v>
      </c>
      <c r="B39" s="120" t="s">
        <v>1446</v>
      </c>
      <c r="C39" s="121"/>
      <c r="D39" s="121"/>
      <c r="E39" s="121"/>
      <c r="F39" s="110"/>
    </row>
    <row r="40" ht="94.5" spans="1:6">
      <c r="A40" s="116" t="s">
        <v>801</v>
      </c>
      <c r="B40" s="90" t="s">
        <v>1456</v>
      </c>
      <c r="C40" s="90" t="s">
        <v>1474</v>
      </c>
      <c r="D40" s="103"/>
      <c r="E40" s="103"/>
      <c r="F40" s="92" t="s">
        <v>1452</v>
      </c>
    </row>
    <row r="41" ht="31.5" spans="1:6">
      <c r="A41" s="117" t="s">
        <v>1475</v>
      </c>
      <c r="B41" s="111">
        <v>350</v>
      </c>
      <c r="C41" s="95">
        <v>300</v>
      </c>
      <c r="D41" s="103"/>
      <c r="E41" s="103"/>
      <c r="F41" s="97">
        <f>ROUND(MEDIAN(B41:E41),2)</f>
        <v>325</v>
      </c>
    </row>
    <row r="42" ht="16.5" spans="1:6">
      <c r="A42" s="112"/>
      <c r="B42" s="98"/>
      <c r="C42" s="113"/>
      <c r="D42" s="101"/>
      <c r="E42" s="102"/>
      <c r="F42" s="102"/>
    </row>
    <row r="43" spans="1:6">
      <c r="A43" s="85" t="s">
        <v>1476</v>
      </c>
      <c r="B43" s="120" t="s">
        <v>1446</v>
      </c>
      <c r="C43" s="120" t="s">
        <v>1447</v>
      </c>
      <c r="D43" s="120" t="s">
        <v>1448</v>
      </c>
      <c r="E43" s="120" t="s">
        <v>1455</v>
      </c>
      <c r="F43" s="110"/>
    </row>
    <row r="44" ht="94.5" spans="1:6">
      <c r="A44" s="116" t="s">
        <v>801</v>
      </c>
      <c r="B44" s="90" t="s">
        <v>1457</v>
      </c>
      <c r="C44" s="103" t="s">
        <v>1461</v>
      </c>
      <c r="D44" s="103" t="s">
        <v>1449</v>
      </c>
      <c r="E44" s="103" t="s">
        <v>1450</v>
      </c>
      <c r="F44" s="92" t="s">
        <v>1452</v>
      </c>
    </row>
    <row r="45" ht="47.25" spans="1:6">
      <c r="A45" s="117" t="s">
        <v>953</v>
      </c>
      <c r="B45" s="95">
        <v>96.37</v>
      </c>
      <c r="C45" s="96">
        <v>84.79</v>
      </c>
      <c r="D45" s="96">
        <v>81.19</v>
      </c>
      <c r="E45" s="118">
        <v>98</v>
      </c>
      <c r="F45" s="97">
        <f>ROUND(MEDIAN(B45:E45),2)</f>
        <v>90.58</v>
      </c>
    </row>
    <row r="46" ht="16.5" spans="1:6">
      <c r="A46" s="123"/>
      <c r="B46" s="105"/>
      <c r="C46" s="105"/>
      <c r="D46" s="105"/>
      <c r="E46" s="105"/>
      <c r="F46" s="105"/>
    </row>
    <row r="47" spans="1:6">
      <c r="A47" s="119" t="s">
        <v>1477</v>
      </c>
      <c r="B47" s="120" t="s">
        <v>1446</v>
      </c>
      <c r="C47" s="120" t="s">
        <v>1447</v>
      </c>
      <c r="D47" s="121"/>
      <c r="E47" s="121"/>
      <c r="F47" s="110"/>
    </row>
    <row r="48" ht="110.25" spans="1:6">
      <c r="A48" s="116" t="s">
        <v>801</v>
      </c>
      <c r="B48" s="90" t="s">
        <v>1457</v>
      </c>
      <c r="C48" s="90" t="s">
        <v>1450</v>
      </c>
      <c r="D48" s="103" t="s">
        <v>1470</v>
      </c>
      <c r="E48" s="103"/>
      <c r="F48" s="92" t="s">
        <v>1452</v>
      </c>
    </row>
    <row r="49" ht="39" customHeight="1" spans="1:6">
      <c r="A49" s="117" t="s">
        <v>1478</v>
      </c>
      <c r="B49" s="94">
        <v>39.64</v>
      </c>
      <c r="C49" s="95">
        <v>120</v>
      </c>
      <c r="D49" s="96">
        <f>ROUND(81.71+(135.13/19),2)</f>
        <v>88.82</v>
      </c>
      <c r="E49" s="103"/>
      <c r="F49" s="97">
        <f>ROUND(MEDIAN(B49:E49),2)</f>
        <v>88.82</v>
      </c>
    </row>
    <row r="50" spans="1:6">
      <c r="A50" s="123"/>
      <c r="B50" s="105"/>
      <c r="C50" s="105"/>
      <c r="D50" s="105"/>
      <c r="E50" s="105"/>
      <c r="F50" s="102"/>
    </row>
    <row r="51" ht="16.5" spans="1:6">
      <c r="A51" s="124" t="s">
        <v>788</v>
      </c>
      <c r="B51" s="124"/>
      <c r="C51" s="124"/>
      <c r="D51" s="124"/>
      <c r="E51" s="124"/>
      <c r="F51" s="124"/>
    </row>
    <row r="52" spans="1:6">
      <c r="A52" s="85" t="s">
        <v>1479</v>
      </c>
      <c r="B52" s="120" t="s">
        <v>1446</v>
      </c>
      <c r="C52" s="120" t="s">
        <v>1447</v>
      </c>
      <c r="D52" s="120" t="s">
        <v>1448</v>
      </c>
      <c r="E52" s="121"/>
      <c r="F52" s="110"/>
    </row>
    <row r="53" ht="126" spans="1:6">
      <c r="A53" s="116" t="s">
        <v>801</v>
      </c>
      <c r="B53" s="90" t="s">
        <v>1461</v>
      </c>
      <c r="C53" s="90" t="s">
        <v>1480</v>
      </c>
      <c r="D53" s="103" t="s">
        <v>1481</v>
      </c>
      <c r="E53" s="103" t="s">
        <v>1482</v>
      </c>
      <c r="F53" s="92" t="s">
        <v>1452</v>
      </c>
    </row>
    <row r="54" ht="31.5" spans="1:6">
      <c r="A54" s="117" t="s">
        <v>1483</v>
      </c>
      <c r="B54" s="94">
        <v>23.07</v>
      </c>
      <c r="C54" s="95">
        <v>4.55</v>
      </c>
      <c r="D54" s="96">
        <v>7.44</v>
      </c>
      <c r="E54" s="103">
        <v>5.95</v>
      </c>
      <c r="F54" s="97">
        <f>ROUND(MEDIAN(B54:E54),2)</f>
        <v>6.7</v>
      </c>
    </row>
    <row r="55" ht="16.5" spans="1:6">
      <c r="A55" s="112"/>
      <c r="B55" s="98"/>
      <c r="C55" s="113"/>
      <c r="D55" s="101"/>
      <c r="E55" s="102"/>
      <c r="F55" s="102"/>
    </row>
    <row r="56" spans="1:6">
      <c r="A56" s="85" t="s">
        <v>1484</v>
      </c>
      <c r="B56" s="120" t="s">
        <v>1446</v>
      </c>
      <c r="C56" s="120" t="s">
        <v>1447</v>
      </c>
      <c r="D56" s="120" t="s">
        <v>1448</v>
      </c>
      <c r="E56" s="121"/>
      <c r="F56" s="110"/>
    </row>
    <row r="57" ht="126" spans="1:6">
      <c r="A57" s="116" t="s">
        <v>801</v>
      </c>
      <c r="B57" s="90" t="s">
        <v>1461</v>
      </c>
      <c r="C57" s="90" t="s">
        <v>1480</v>
      </c>
      <c r="D57" s="103" t="s">
        <v>1481</v>
      </c>
      <c r="E57" s="103" t="s">
        <v>1482</v>
      </c>
      <c r="F57" s="92" t="s">
        <v>1452</v>
      </c>
    </row>
    <row r="58" ht="47.25" spans="1:6">
      <c r="A58" s="117" t="s">
        <v>1485</v>
      </c>
      <c r="B58" s="107">
        <v>1.11</v>
      </c>
      <c r="C58" s="108">
        <v>0.42</v>
      </c>
      <c r="D58" s="109">
        <v>0.51</v>
      </c>
      <c r="E58" s="103">
        <v>0.7</v>
      </c>
      <c r="F58" s="97">
        <f>ROUND(MEDIAN(B58:E58),2)</f>
        <v>0.61</v>
      </c>
    </row>
    <row r="59" ht="16.5" spans="1:6">
      <c r="A59" s="123"/>
      <c r="B59" s="105"/>
      <c r="C59" s="105"/>
      <c r="D59" s="105"/>
      <c r="E59" s="105"/>
      <c r="F59" s="105"/>
    </row>
    <row r="60" spans="1:6">
      <c r="A60" s="85" t="s">
        <v>1486</v>
      </c>
      <c r="B60" s="120" t="s">
        <v>1446</v>
      </c>
      <c r="C60" s="120" t="s">
        <v>1447</v>
      </c>
      <c r="D60" s="120" t="s">
        <v>1448</v>
      </c>
      <c r="E60" s="121"/>
      <c r="F60" s="110"/>
    </row>
    <row r="61" ht="126" spans="1:6">
      <c r="A61" s="116" t="s">
        <v>801</v>
      </c>
      <c r="B61" s="90" t="s">
        <v>1450</v>
      </c>
      <c r="C61" s="90" t="s">
        <v>1480</v>
      </c>
      <c r="D61" s="103" t="s">
        <v>1481</v>
      </c>
      <c r="E61" s="103" t="s">
        <v>1482</v>
      </c>
      <c r="F61" s="92" t="s">
        <v>1452</v>
      </c>
    </row>
    <row r="62" ht="31.5" spans="1:6">
      <c r="A62" s="117" t="s">
        <v>1487</v>
      </c>
      <c r="B62" s="94">
        <v>0.25</v>
      </c>
      <c r="C62" s="118">
        <f>ROUND(8.36/100,2)</f>
        <v>0.08</v>
      </c>
      <c r="D62" s="118">
        <f>ROUND(10.9/100,2)</f>
        <v>0.11</v>
      </c>
      <c r="E62" s="103">
        <v>0.09</v>
      </c>
      <c r="F62" s="97">
        <f>ROUND(MEDIAN(B62:E62),2)</f>
        <v>0.1</v>
      </c>
    </row>
    <row r="63" ht="16.5" spans="1:6">
      <c r="A63" s="123"/>
      <c r="B63" s="105"/>
      <c r="C63" s="105"/>
      <c r="D63" s="105"/>
      <c r="E63" s="105"/>
      <c r="F63" s="105"/>
    </row>
    <row r="64" spans="1:6">
      <c r="A64" s="85" t="s">
        <v>1488</v>
      </c>
      <c r="B64" s="120" t="s">
        <v>1446</v>
      </c>
      <c r="C64" s="120" t="s">
        <v>1447</v>
      </c>
      <c r="D64" s="120" t="s">
        <v>1448</v>
      </c>
      <c r="E64" s="120" t="s">
        <v>1455</v>
      </c>
      <c r="F64" s="122"/>
    </row>
    <row r="65" ht="94.5" spans="1:6">
      <c r="A65" s="116" t="s">
        <v>801</v>
      </c>
      <c r="B65" s="90" t="s">
        <v>1460</v>
      </c>
      <c r="C65" s="90" t="s">
        <v>1456</v>
      </c>
      <c r="D65" s="103" t="s">
        <v>1457</v>
      </c>
      <c r="E65" s="103" t="s">
        <v>1450</v>
      </c>
      <c r="F65" s="92" t="s">
        <v>1452</v>
      </c>
    </row>
    <row r="66" spans="1:6">
      <c r="A66" s="117" t="s">
        <v>1489</v>
      </c>
      <c r="B66" s="125">
        <v>0.21</v>
      </c>
      <c r="C66" s="125">
        <v>0.35</v>
      </c>
      <c r="D66" s="126">
        <v>0.08</v>
      </c>
      <c r="E66" s="126">
        <v>0.1</v>
      </c>
      <c r="F66" s="97">
        <f>ROUND(MEDIAN(B66:E66),2)</f>
        <v>0.16</v>
      </c>
    </row>
    <row r="67" ht="16.5" spans="1:6">
      <c r="A67" s="123"/>
      <c r="B67" s="105"/>
      <c r="C67" s="105"/>
      <c r="D67" s="105"/>
      <c r="E67" s="105"/>
      <c r="F67" s="105"/>
    </row>
    <row r="68" spans="1:6">
      <c r="A68" s="85" t="s">
        <v>1490</v>
      </c>
      <c r="B68" s="120" t="s">
        <v>1446</v>
      </c>
      <c r="C68" s="120" t="s">
        <v>1447</v>
      </c>
      <c r="D68" s="120" t="s">
        <v>1448</v>
      </c>
      <c r="E68" s="120" t="s">
        <v>1455</v>
      </c>
      <c r="F68" s="110"/>
    </row>
    <row r="69" ht="94.5" spans="1:6">
      <c r="A69" s="116" t="s">
        <v>801</v>
      </c>
      <c r="B69" s="90" t="s">
        <v>1456</v>
      </c>
      <c r="C69" s="90" t="s">
        <v>1461</v>
      </c>
      <c r="D69" s="103" t="s">
        <v>1450</v>
      </c>
      <c r="E69" s="103" t="s">
        <v>1480</v>
      </c>
      <c r="F69" s="92" t="s">
        <v>1452</v>
      </c>
    </row>
    <row r="70" ht="40.5" customHeight="1" spans="1:6">
      <c r="A70" s="117" t="s">
        <v>1491</v>
      </c>
      <c r="B70" s="111">
        <v>0.2</v>
      </c>
      <c r="C70" s="111">
        <v>0.07</v>
      </c>
      <c r="D70" s="118">
        <v>0.1</v>
      </c>
      <c r="E70" s="118">
        <f>ROUND(3.57/100,2)</f>
        <v>0.04</v>
      </c>
      <c r="F70" s="97">
        <f>ROUND(MEDIAN(B70:E70),2)</f>
        <v>0.09</v>
      </c>
    </row>
    <row r="71" ht="16.5" spans="1:6">
      <c r="A71" s="123"/>
      <c r="B71" s="105"/>
      <c r="C71" s="105"/>
      <c r="D71" s="105"/>
      <c r="E71" s="105"/>
      <c r="F71" s="105"/>
    </row>
    <row r="72" spans="1:6">
      <c r="A72" s="85" t="s">
        <v>1492</v>
      </c>
      <c r="B72" s="120" t="s">
        <v>1446</v>
      </c>
      <c r="C72" s="120" t="s">
        <v>1447</v>
      </c>
      <c r="D72" s="120" t="s">
        <v>1448</v>
      </c>
      <c r="E72" s="121"/>
      <c r="F72" s="110"/>
    </row>
    <row r="73" ht="126" spans="1:6">
      <c r="A73" s="116" t="s">
        <v>801</v>
      </c>
      <c r="B73" s="90" t="s">
        <v>1480</v>
      </c>
      <c r="C73" s="90" t="s">
        <v>1481</v>
      </c>
      <c r="D73" s="103" t="s">
        <v>1482</v>
      </c>
      <c r="E73" s="103"/>
      <c r="F73" s="92" t="s">
        <v>1452</v>
      </c>
    </row>
    <row r="74" ht="31.5" spans="1:6">
      <c r="A74" s="117" t="s">
        <v>1493</v>
      </c>
      <c r="B74" s="94">
        <v>15.34</v>
      </c>
      <c r="C74" s="95">
        <v>30.39</v>
      </c>
      <c r="D74" s="127">
        <v>5.98</v>
      </c>
      <c r="E74" s="103"/>
      <c r="F74" s="97">
        <f>ROUND(MEDIAN(B74:E74),2)</f>
        <v>15.34</v>
      </c>
    </row>
    <row r="75" ht="16.5" spans="1:6">
      <c r="A75" s="123"/>
      <c r="B75" s="102"/>
      <c r="C75" s="128"/>
      <c r="D75" s="105"/>
      <c r="E75" s="105"/>
      <c r="F75" s="105"/>
    </row>
    <row r="76" spans="1:6">
      <c r="A76" s="85" t="s">
        <v>1494</v>
      </c>
      <c r="B76" s="120" t="s">
        <v>1446</v>
      </c>
      <c r="C76" s="120" t="s">
        <v>1447</v>
      </c>
      <c r="D76" s="120" t="s">
        <v>1448</v>
      </c>
      <c r="E76" s="120" t="s">
        <v>1455</v>
      </c>
      <c r="F76" s="110"/>
    </row>
    <row r="77" ht="126" spans="1:6">
      <c r="A77" s="116" t="s">
        <v>801</v>
      </c>
      <c r="B77" s="90" t="s">
        <v>1480</v>
      </c>
      <c r="C77" s="90" t="s">
        <v>1495</v>
      </c>
      <c r="D77" s="103" t="s">
        <v>1450</v>
      </c>
      <c r="E77" s="103" t="s">
        <v>1482</v>
      </c>
      <c r="F77" s="92" t="s">
        <v>1452</v>
      </c>
    </row>
    <row r="78" ht="31.5" spans="1:6">
      <c r="A78" s="117" t="s">
        <v>1496</v>
      </c>
      <c r="B78" s="94">
        <v>13.16</v>
      </c>
      <c r="C78" s="95">
        <v>26.77</v>
      </c>
      <c r="D78" s="129">
        <v>26</v>
      </c>
      <c r="E78" s="103">
        <v>5.13</v>
      </c>
      <c r="F78" s="97">
        <f>ROUND(MEDIAN(B78:E78),2)</f>
        <v>19.58</v>
      </c>
    </row>
    <row r="79" ht="16.5" spans="1:6">
      <c r="A79" s="130"/>
      <c r="B79" s="131"/>
      <c r="C79" s="132"/>
      <c r="D79" s="105"/>
      <c r="E79" s="105"/>
      <c r="F79" s="105"/>
    </row>
    <row r="80" spans="1:6">
      <c r="A80" s="85" t="s">
        <v>1497</v>
      </c>
      <c r="B80" s="120" t="s">
        <v>1446</v>
      </c>
      <c r="C80" s="120" t="s">
        <v>1447</v>
      </c>
      <c r="D80" s="120" t="s">
        <v>1448</v>
      </c>
      <c r="E80" s="121"/>
      <c r="F80" s="110"/>
    </row>
    <row r="81" ht="126" spans="1:6">
      <c r="A81" s="116" t="s">
        <v>801</v>
      </c>
      <c r="B81" s="90" t="s">
        <v>1480</v>
      </c>
      <c r="C81" s="90" t="s">
        <v>1495</v>
      </c>
      <c r="D81" s="103" t="s">
        <v>1482</v>
      </c>
      <c r="E81" s="103"/>
      <c r="F81" s="92" t="s">
        <v>1452</v>
      </c>
    </row>
    <row r="82" ht="39" customHeight="1" spans="1:6">
      <c r="A82" s="117" t="s">
        <v>1498</v>
      </c>
      <c r="B82" s="94">
        <v>8.62</v>
      </c>
      <c r="C82" s="95">
        <v>11.61</v>
      </c>
      <c r="D82" s="103">
        <v>9.88</v>
      </c>
      <c r="E82" s="103"/>
      <c r="F82" s="97">
        <f>ROUND(MEDIAN(B82:E82),2)</f>
        <v>9.88</v>
      </c>
    </row>
    <row r="83" ht="16.5" spans="1:6">
      <c r="A83" s="123"/>
      <c r="B83" s="102"/>
      <c r="C83" s="128"/>
      <c r="D83" s="105"/>
      <c r="E83" s="105"/>
      <c r="F83" s="105"/>
    </row>
    <row r="84" spans="1:6">
      <c r="A84" s="85" t="s">
        <v>1499</v>
      </c>
      <c r="B84" s="120" t="s">
        <v>1446</v>
      </c>
      <c r="C84" s="120" t="s">
        <v>1447</v>
      </c>
      <c r="D84" s="120" t="s">
        <v>1448</v>
      </c>
      <c r="E84" s="120" t="s">
        <v>1455</v>
      </c>
      <c r="F84" s="110"/>
    </row>
    <row r="85" ht="110.25" spans="1:6">
      <c r="A85" s="116" t="s">
        <v>801</v>
      </c>
      <c r="B85" s="90" t="s">
        <v>1480</v>
      </c>
      <c r="C85" s="90" t="s">
        <v>1495</v>
      </c>
      <c r="D85" s="103" t="s">
        <v>1461</v>
      </c>
      <c r="E85" s="103" t="s">
        <v>1450</v>
      </c>
      <c r="F85" s="92" t="s">
        <v>1452</v>
      </c>
    </row>
    <row r="86" ht="31.5" spans="1:6">
      <c r="A86" s="117" t="s">
        <v>1500</v>
      </c>
      <c r="B86" s="111">
        <v>7.46</v>
      </c>
      <c r="C86" s="111">
        <v>10.47</v>
      </c>
      <c r="D86" s="118">
        <v>13.86</v>
      </c>
      <c r="E86" s="118">
        <v>15</v>
      </c>
      <c r="F86" s="97">
        <f>ROUND(MEDIAN(B86:E86),2)</f>
        <v>12.17</v>
      </c>
    </row>
    <row r="87" ht="16.5" spans="1:6">
      <c r="A87" s="123"/>
      <c r="B87" s="102"/>
      <c r="C87" s="128"/>
      <c r="D87" s="105"/>
      <c r="E87" s="105"/>
      <c r="F87" s="105"/>
    </row>
    <row r="88" spans="1:6">
      <c r="A88" s="85" t="s">
        <v>1501</v>
      </c>
      <c r="B88" s="120" t="s">
        <v>1446</v>
      </c>
      <c r="C88" s="120" t="s">
        <v>1447</v>
      </c>
      <c r="D88" s="120" t="s">
        <v>1448</v>
      </c>
      <c r="E88" s="120" t="s">
        <v>1455</v>
      </c>
      <c r="F88" s="110"/>
    </row>
    <row r="89" ht="126" spans="1:6">
      <c r="A89" s="116" t="s">
        <v>801</v>
      </c>
      <c r="B89" s="90" t="s">
        <v>1480</v>
      </c>
      <c r="C89" s="90" t="s">
        <v>1495</v>
      </c>
      <c r="D89" s="103" t="s">
        <v>1461</v>
      </c>
      <c r="E89" s="103" t="s">
        <v>1482</v>
      </c>
      <c r="F89" s="92" t="s">
        <v>1452</v>
      </c>
    </row>
    <row r="90" ht="31.5" spans="1:6">
      <c r="A90" s="117" t="s">
        <v>1502</v>
      </c>
      <c r="B90" s="94">
        <v>3.11</v>
      </c>
      <c r="C90" s="95">
        <v>6.05</v>
      </c>
      <c r="D90" s="96">
        <v>7.89</v>
      </c>
      <c r="E90" s="103">
        <v>5.79</v>
      </c>
      <c r="F90" s="97">
        <f>ROUND(MEDIAN(B90:E90),2)</f>
        <v>5.92</v>
      </c>
    </row>
    <row r="91" ht="16.5" spans="1:6">
      <c r="A91" s="112"/>
      <c r="B91" s="123"/>
      <c r="C91" s="113"/>
      <c r="D91" s="101"/>
      <c r="E91" s="102"/>
      <c r="F91" s="133"/>
    </row>
    <row r="92" spans="1:6">
      <c r="A92" s="85" t="s">
        <v>1503</v>
      </c>
      <c r="B92" s="120" t="s">
        <v>1446</v>
      </c>
      <c r="C92" s="120" t="s">
        <v>1447</v>
      </c>
      <c r="D92" s="120" t="s">
        <v>1448</v>
      </c>
      <c r="E92" s="121"/>
      <c r="F92" s="110"/>
    </row>
    <row r="93" ht="126" spans="1:6">
      <c r="A93" s="116" t="s">
        <v>801</v>
      </c>
      <c r="B93" s="90" t="s">
        <v>1480</v>
      </c>
      <c r="C93" s="90" t="s">
        <v>1495</v>
      </c>
      <c r="D93" s="103" t="s">
        <v>1482</v>
      </c>
      <c r="E93" s="103"/>
      <c r="F93" s="92" t="s">
        <v>1452</v>
      </c>
    </row>
    <row r="94" ht="31.5" spans="1:6">
      <c r="A94" s="117" t="s">
        <v>1504</v>
      </c>
      <c r="B94" s="94">
        <v>4.06</v>
      </c>
      <c r="C94" s="95">
        <v>6.6</v>
      </c>
      <c r="D94" s="103">
        <v>6.8</v>
      </c>
      <c r="E94" s="103"/>
      <c r="F94" s="97">
        <f>ROUND(MEDIAN(B94:E94),2)</f>
        <v>6.6</v>
      </c>
    </row>
    <row r="95" ht="16.5" spans="1:6">
      <c r="A95" s="112"/>
      <c r="B95" s="123"/>
      <c r="C95" s="113"/>
      <c r="D95" s="101"/>
      <c r="E95" s="102"/>
      <c r="F95" s="133"/>
    </row>
    <row r="96" spans="1:6">
      <c r="A96" s="85" t="s">
        <v>1505</v>
      </c>
      <c r="B96" s="120" t="s">
        <v>1446</v>
      </c>
      <c r="C96" s="120" t="s">
        <v>1447</v>
      </c>
      <c r="D96" s="120" t="s">
        <v>1448</v>
      </c>
      <c r="E96" s="121"/>
      <c r="F96" s="110"/>
    </row>
    <row r="97" ht="126" spans="1:6">
      <c r="A97" s="116" t="s">
        <v>801</v>
      </c>
      <c r="B97" s="90" t="s">
        <v>1480</v>
      </c>
      <c r="C97" s="90" t="s">
        <v>1495</v>
      </c>
      <c r="D97" s="103" t="s">
        <v>1482</v>
      </c>
      <c r="E97" s="103"/>
      <c r="F97" s="92" t="s">
        <v>1452</v>
      </c>
    </row>
    <row r="98" ht="31.5" spans="1:6">
      <c r="A98" s="117" t="s">
        <v>1506</v>
      </c>
      <c r="B98" s="94">
        <v>3.84</v>
      </c>
      <c r="C98" s="95">
        <v>9.13</v>
      </c>
      <c r="D98" s="103">
        <v>8.78</v>
      </c>
      <c r="E98" s="103"/>
      <c r="F98" s="97">
        <f>ROUND(MEDIAN(B98:E98),2)</f>
        <v>8.78</v>
      </c>
    </row>
    <row r="99" ht="16.5" spans="1:6">
      <c r="A99" s="112"/>
      <c r="B99" s="123"/>
      <c r="C99" s="113"/>
      <c r="D99" s="101"/>
      <c r="E99" s="102"/>
      <c r="F99" s="133"/>
    </row>
    <row r="100" spans="1:6">
      <c r="A100" s="85" t="s">
        <v>1507</v>
      </c>
      <c r="B100" s="120" t="s">
        <v>1446</v>
      </c>
      <c r="C100" s="120" t="s">
        <v>1447</v>
      </c>
      <c r="D100" s="120" t="s">
        <v>1448</v>
      </c>
      <c r="E100" s="121"/>
      <c r="F100" s="110"/>
    </row>
    <row r="101" ht="126" spans="1:6">
      <c r="A101" s="116" t="s">
        <v>801</v>
      </c>
      <c r="B101" s="90" t="s">
        <v>1480</v>
      </c>
      <c r="C101" s="90" t="s">
        <v>1495</v>
      </c>
      <c r="D101" s="103" t="s">
        <v>1482</v>
      </c>
      <c r="E101" s="103"/>
      <c r="F101" s="92" t="s">
        <v>1452</v>
      </c>
    </row>
    <row r="102" ht="33.75" customHeight="1" spans="1:6">
      <c r="A102" s="117" t="s">
        <v>1508</v>
      </c>
      <c r="B102" s="94">
        <v>1.04</v>
      </c>
      <c r="C102" s="95">
        <v>1.77</v>
      </c>
      <c r="D102" s="103">
        <v>0.67</v>
      </c>
      <c r="E102" s="103"/>
      <c r="F102" s="97">
        <f>ROUND(MEDIAN(B102:E102),2)</f>
        <v>1.04</v>
      </c>
    </row>
    <row r="103" ht="16.5" spans="1:6">
      <c r="A103" s="112"/>
      <c r="B103" s="123"/>
      <c r="C103" s="113"/>
      <c r="D103" s="101"/>
      <c r="E103" s="102"/>
      <c r="F103" s="133"/>
    </row>
    <row r="104" spans="1:6">
      <c r="A104" s="85" t="s">
        <v>1509</v>
      </c>
      <c r="B104" s="120" t="s">
        <v>1446</v>
      </c>
      <c r="C104" s="120" t="s">
        <v>1447</v>
      </c>
      <c r="D104" s="120" t="s">
        <v>1448</v>
      </c>
      <c r="E104" s="121"/>
      <c r="F104" s="110"/>
    </row>
    <row r="105" ht="126" spans="1:6">
      <c r="A105" s="116" t="s">
        <v>801</v>
      </c>
      <c r="B105" s="90" t="s">
        <v>1480</v>
      </c>
      <c r="C105" s="90" t="s">
        <v>1495</v>
      </c>
      <c r="D105" s="103" t="s">
        <v>1482</v>
      </c>
      <c r="E105" s="103"/>
      <c r="F105" s="92" t="s">
        <v>1452</v>
      </c>
    </row>
    <row r="106" ht="31.5" spans="1:6">
      <c r="A106" s="117" t="s">
        <v>1510</v>
      </c>
      <c r="B106" s="94">
        <v>1.02</v>
      </c>
      <c r="C106" s="95">
        <v>1.21</v>
      </c>
      <c r="D106" s="103">
        <v>0.91</v>
      </c>
      <c r="E106" s="103"/>
      <c r="F106" s="97">
        <f>ROUND(MEDIAN(B106:E106),2)</f>
        <v>1.02</v>
      </c>
    </row>
    <row r="107" spans="1:6">
      <c r="A107" s="112"/>
      <c r="B107" s="123"/>
      <c r="C107" s="113"/>
      <c r="D107" s="101"/>
      <c r="E107" s="102"/>
      <c r="F107" s="133"/>
    </row>
    <row r="108" ht="16.5" spans="1:6">
      <c r="A108" s="82" t="s">
        <v>1511</v>
      </c>
      <c r="B108" s="83"/>
      <c r="C108" s="83"/>
      <c r="D108" s="83"/>
      <c r="E108" s="83"/>
      <c r="F108" s="84"/>
    </row>
    <row r="109" spans="1:6">
      <c r="A109" s="85" t="s">
        <v>1512</v>
      </c>
      <c r="B109" s="120" t="s">
        <v>1446</v>
      </c>
      <c r="C109" s="120" t="s">
        <v>1447</v>
      </c>
      <c r="D109" s="121"/>
      <c r="E109" s="121"/>
      <c r="F109" s="110"/>
    </row>
    <row r="110" ht="111.75" customHeight="1" spans="1:6">
      <c r="A110" s="116" t="s">
        <v>801</v>
      </c>
      <c r="B110" s="90" t="s">
        <v>1513</v>
      </c>
      <c r="C110" s="90" t="s">
        <v>1514</v>
      </c>
      <c r="D110" s="103"/>
      <c r="E110" s="103"/>
      <c r="F110" s="92" t="s">
        <v>1452</v>
      </c>
    </row>
    <row r="111" ht="47.25" spans="1:6">
      <c r="A111" s="117" t="s">
        <v>1515</v>
      </c>
      <c r="B111" s="94">
        <f>ROUND(64.36+0.5409*15.83,2)</f>
        <v>72.92</v>
      </c>
      <c r="C111" s="95">
        <v>95</v>
      </c>
      <c r="D111" s="103"/>
      <c r="E111" s="103"/>
      <c r="F111" s="97">
        <f>ROUND(MEDIAN(B111:E111),2)</f>
        <v>83.96</v>
      </c>
    </row>
    <row r="113" spans="1:6">
      <c r="A113" s="85" t="s">
        <v>1437</v>
      </c>
      <c r="B113" s="120" t="s">
        <v>1446</v>
      </c>
      <c r="C113" s="120" t="s">
        <v>1447</v>
      </c>
      <c r="D113" s="120" t="s">
        <v>1448</v>
      </c>
      <c r="E113" s="121"/>
      <c r="F113" s="110"/>
    </row>
    <row r="114" ht="126" spans="1:6">
      <c r="A114" s="116" t="s">
        <v>801</v>
      </c>
      <c r="B114" s="90" t="s">
        <v>1516</v>
      </c>
      <c r="C114" s="90" t="s">
        <v>1517</v>
      </c>
      <c r="D114" s="103" t="s">
        <v>1518</v>
      </c>
      <c r="E114" s="103"/>
      <c r="F114" s="92" t="s">
        <v>1452</v>
      </c>
    </row>
    <row r="115" spans="1:6">
      <c r="A115" s="117" t="s">
        <v>790</v>
      </c>
      <c r="B115" s="95">
        <v>55479</v>
      </c>
      <c r="C115" s="95">
        <v>75600</v>
      </c>
      <c r="D115" s="95">
        <v>62537</v>
      </c>
      <c r="E115" s="103"/>
      <c r="F115" s="97">
        <f>ROUND(MEDIAN(B115:E115),2)</f>
        <v>62537</v>
      </c>
    </row>
    <row r="117" spans="1:6">
      <c r="A117" s="85" t="s">
        <v>1440</v>
      </c>
      <c r="B117" s="120" t="s">
        <v>1446</v>
      </c>
      <c r="C117" s="120" t="s">
        <v>1447</v>
      </c>
      <c r="D117" s="120" t="s">
        <v>1448</v>
      </c>
      <c r="E117" s="121"/>
      <c r="F117" s="110"/>
    </row>
    <row r="118" ht="78.75" spans="1:6">
      <c r="A118" s="116" t="s">
        <v>801</v>
      </c>
      <c r="B118" s="90" t="s">
        <v>1519</v>
      </c>
      <c r="C118" s="90" t="s">
        <v>1520</v>
      </c>
      <c r="D118" s="103"/>
      <c r="E118" s="103"/>
      <c r="F118" s="92" t="s">
        <v>1452</v>
      </c>
    </row>
    <row r="119" ht="78.75" spans="1:6">
      <c r="A119" s="117" t="s">
        <v>1521</v>
      </c>
      <c r="B119" s="95">
        <v>8750.42</v>
      </c>
      <c r="C119" s="95">
        <v>11375</v>
      </c>
      <c r="D119" s="95"/>
      <c r="E119" s="103"/>
      <c r="F119" s="97">
        <f>ROUND(MEDIAN(B119:E119),2)</f>
        <v>10062.71</v>
      </c>
    </row>
  </sheetData>
  <mergeCells count="5">
    <mergeCell ref="A1:F1"/>
    <mergeCell ref="A3:F3"/>
    <mergeCell ref="A6:F6"/>
    <mergeCell ref="A51:F51"/>
    <mergeCell ref="A108:F108"/>
  </mergeCells>
  <printOptions horizontalCentered="1" verticalCentered="1"/>
  <pageMargins left="0.511805555555556" right="0.511805555555556" top="0.786805555555556" bottom="0.786805555555556" header="0.313888888888889" footer="0.313888888888889"/>
  <pageSetup paperSize="9" scale="47" orientation="landscape"/>
  <headerFooter>
    <oddHeader>&amp;C&amp;G
DEFENSORIA PÚBLICA DO ESTADO DE RORAIMA
“Amazônia: Patrimônio dos brasileiros”
____________________________________________________________________________________________________</oddHeader>
  </headerFooter>
  <rowBreaks count="5" manualBreakCount="5">
    <brk id="26" max="16383" man="1"/>
    <brk id="46" max="16383" man="1"/>
    <brk id="63" max="16383" man="1"/>
    <brk id="86" max="16383" man="1"/>
    <brk id="107" max="16383" man="1"/>
  </rowBreaks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53"/>
  <sheetViews>
    <sheetView view="pageBreakPreview" zoomScale="85" zoomScaleNormal="100" zoomScaleSheetLayoutView="85" topLeftCell="A28" workbookViewId="0">
      <selection activeCell="F49" sqref="F49"/>
    </sheetView>
  </sheetViews>
  <sheetFormatPr defaultColWidth="9" defaultRowHeight="15"/>
  <cols>
    <col min="1" max="1" width="9" style="19"/>
    <col min="2" max="3" width="16.4285714285714" style="19" customWidth="1"/>
    <col min="4" max="4" width="14.8571428571429" style="19" customWidth="1"/>
    <col min="5" max="5" width="6.57142857142857" style="19" customWidth="1"/>
    <col min="6" max="6" width="10.8571428571429" style="19" customWidth="1"/>
    <col min="7" max="7" width="9.28571428571429" style="19" customWidth="1"/>
    <col min="8" max="8" width="10.8571428571429" style="19" customWidth="1"/>
    <col min="9" max="9" width="21.4285714285714" style="19" customWidth="1"/>
    <col min="12" max="12" width="12.8571428571429"/>
  </cols>
  <sheetData>
    <row r="1" ht="16.5" spans="1:9">
      <c r="A1" s="20" t="s">
        <v>1522</v>
      </c>
      <c r="B1" s="21"/>
      <c r="C1" s="21"/>
      <c r="D1" s="21"/>
      <c r="E1" s="21"/>
      <c r="F1" s="21"/>
      <c r="G1" s="21"/>
      <c r="H1" s="21"/>
      <c r="I1" s="62"/>
    </row>
    <row r="2" ht="32.25" customHeight="1" spans="1:9">
      <c r="A2" s="69" t="str">
        <f>'PB III - Orçamento Sintetico'!A4:G4</f>
        <v>OBRA: CONSTRUÇÃO DA SEDE DA DEFENSORIA PÚBLICA DO ESTADO DE RORAIMA NO MUNICIPIO DE ALTO ALEGRE - DPE/RR</v>
      </c>
      <c r="B2" s="70"/>
      <c r="C2" s="70"/>
      <c r="D2" s="70"/>
      <c r="E2" s="70"/>
      <c r="F2" s="70"/>
      <c r="G2" s="70"/>
      <c r="H2" s="70"/>
      <c r="I2" s="71"/>
    </row>
    <row r="3" ht="15.75" spans="1:9">
      <c r="A3" s="24"/>
      <c r="B3" s="25"/>
      <c r="C3" s="25"/>
      <c r="D3" s="25"/>
      <c r="E3" s="25"/>
      <c r="F3" s="25"/>
      <c r="G3" s="25"/>
      <c r="H3" s="25"/>
      <c r="I3" s="64"/>
    </row>
    <row r="4" ht="15.75" spans="1:9">
      <c r="A4" s="26" t="s">
        <v>1523</v>
      </c>
      <c r="B4" s="26"/>
      <c r="C4" s="26"/>
      <c r="D4" s="26"/>
      <c r="E4" s="26"/>
      <c r="F4" s="26"/>
      <c r="G4" s="26"/>
      <c r="H4" s="26"/>
      <c r="I4" s="26"/>
    </row>
    <row r="5" spans="1:9">
      <c r="A5" s="27"/>
      <c r="B5" s="27"/>
      <c r="C5" s="27"/>
      <c r="D5" s="27"/>
      <c r="E5" s="27"/>
      <c r="F5" s="27"/>
      <c r="G5" s="27"/>
      <c r="H5" s="27"/>
      <c r="I5" s="27"/>
    </row>
    <row r="6" ht="15.75" spans="1:9">
      <c r="A6" s="28"/>
      <c r="B6" s="28"/>
      <c r="C6" s="28"/>
      <c r="D6" s="28"/>
      <c r="E6" s="28"/>
      <c r="F6" s="29"/>
      <c r="G6" s="29"/>
      <c r="H6" s="28"/>
      <c r="I6" s="29"/>
    </row>
    <row r="7" ht="15.75" spans="1:9">
      <c r="A7" s="30" t="s">
        <v>1524</v>
      </c>
      <c r="B7" s="30"/>
      <c r="C7" s="30"/>
      <c r="D7" s="30"/>
      <c r="E7" s="30"/>
      <c r="F7" s="30" t="s">
        <v>1525</v>
      </c>
      <c r="G7" s="30"/>
      <c r="H7" s="30"/>
      <c r="I7" s="65" t="s">
        <v>1526</v>
      </c>
    </row>
    <row r="8" ht="15.75" spans="1:9">
      <c r="A8" s="30"/>
      <c r="B8" s="30"/>
      <c r="C8" s="30"/>
      <c r="D8" s="30"/>
      <c r="E8" s="30"/>
      <c r="F8" s="31" t="s">
        <v>1527</v>
      </c>
      <c r="G8" s="31" t="s">
        <v>1528</v>
      </c>
      <c r="H8" s="31" t="s">
        <v>1529</v>
      </c>
      <c r="I8" s="65"/>
    </row>
    <row r="9" ht="15.75" spans="1:9">
      <c r="A9" s="30" t="s">
        <v>1530</v>
      </c>
      <c r="B9" s="32" t="s">
        <v>1531</v>
      </c>
      <c r="C9" s="32"/>
      <c r="D9" s="32"/>
      <c r="E9" s="32"/>
      <c r="F9" s="33">
        <v>0.03</v>
      </c>
      <c r="G9" s="34">
        <v>0.04</v>
      </c>
      <c r="H9" s="33">
        <v>0.055</v>
      </c>
      <c r="I9" s="33">
        <f>G9</f>
        <v>0.04</v>
      </c>
    </row>
    <row r="10" ht="15.75" spans="1:9">
      <c r="A10" s="30"/>
      <c r="B10" s="35" t="s">
        <v>1532</v>
      </c>
      <c r="C10" s="35"/>
      <c r="D10" s="35"/>
      <c r="E10" s="35"/>
      <c r="F10" s="33">
        <v>0.008</v>
      </c>
      <c r="G10" s="34">
        <v>0.008</v>
      </c>
      <c r="H10" s="33">
        <v>0.01</v>
      </c>
      <c r="I10" s="33">
        <f>G10</f>
        <v>0.008</v>
      </c>
    </row>
    <row r="11" ht="15.75" spans="1:9">
      <c r="A11" s="30"/>
      <c r="B11" s="35" t="s">
        <v>1533</v>
      </c>
      <c r="C11" s="35"/>
      <c r="D11" s="35"/>
      <c r="E11" s="35"/>
      <c r="F11" s="33">
        <v>0.0097</v>
      </c>
      <c r="G11" s="34">
        <v>0.0127</v>
      </c>
      <c r="H11" s="33">
        <v>0.0127</v>
      </c>
      <c r="I11" s="33">
        <f>G11</f>
        <v>0.0127</v>
      </c>
    </row>
    <row r="12" ht="15.75" spans="1:9">
      <c r="A12" s="30"/>
      <c r="B12" s="36" t="s">
        <v>1319</v>
      </c>
      <c r="C12" s="36"/>
      <c r="D12" s="36"/>
      <c r="E12" s="36"/>
      <c r="F12" s="36"/>
      <c r="G12" s="36"/>
      <c r="H12" s="36"/>
      <c r="I12" s="39">
        <f>SUM(I9:I11)</f>
        <v>0.0607</v>
      </c>
    </row>
    <row r="13" ht="15.75" spans="1:9">
      <c r="A13" s="30" t="s">
        <v>1534</v>
      </c>
      <c r="B13" s="32" t="s">
        <v>1535</v>
      </c>
      <c r="C13" s="32"/>
      <c r="D13" s="32"/>
      <c r="E13" s="32"/>
      <c r="F13" s="33">
        <v>0.0059</v>
      </c>
      <c r="G13" s="34">
        <v>0.0123</v>
      </c>
      <c r="H13" s="33">
        <v>0.0139</v>
      </c>
      <c r="I13" s="38">
        <f>G13</f>
        <v>0.0123</v>
      </c>
    </row>
    <row r="14" ht="15.75" spans="1:9">
      <c r="A14" s="30"/>
      <c r="B14" s="36" t="s">
        <v>1319</v>
      </c>
      <c r="C14" s="36"/>
      <c r="D14" s="36"/>
      <c r="E14" s="36"/>
      <c r="F14" s="36"/>
      <c r="G14" s="36"/>
      <c r="H14" s="36"/>
      <c r="I14" s="39">
        <f>I13</f>
        <v>0.0123</v>
      </c>
    </row>
    <row r="15" ht="15.75" spans="1:9">
      <c r="A15" s="30" t="s">
        <v>1536</v>
      </c>
      <c r="B15" s="32" t="s">
        <v>1537</v>
      </c>
      <c r="C15" s="32"/>
      <c r="D15" s="32"/>
      <c r="E15" s="32"/>
      <c r="F15" s="33">
        <v>0.0616</v>
      </c>
      <c r="G15" s="34">
        <v>0.074</v>
      </c>
      <c r="H15" s="33">
        <v>0.0896</v>
      </c>
      <c r="I15" s="38">
        <f>G15</f>
        <v>0.074</v>
      </c>
    </row>
    <row r="16" ht="15.75" spans="1:9">
      <c r="A16" s="30"/>
      <c r="B16" s="36" t="s">
        <v>1319</v>
      </c>
      <c r="C16" s="36"/>
      <c r="D16" s="36"/>
      <c r="E16" s="36"/>
      <c r="F16" s="36"/>
      <c r="G16" s="36"/>
      <c r="H16" s="36"/>
      <c r="I16" s="39">
        <f>I15</f>
        <v>0.074</v>
      </c>
    </row>
    <row r="17" ht="15.75" spans="1:9">
      <c r="A17" s="30" t="s">
        <v>303</v>
      </c>
      <c r="B17" s="37" t="s">
        <v>1538</v>
      </c>
      <c r="C17" s="37"/>
      <c r="D17" s="37"/>
      <c r="E17" s="37"/>
      <c r="F17" s="37"/>
      <c r="G17" s="37"/>
      <c r="H17" s="37"/>
      <c r="I17" s="66"/>
    </row>
    <row r="18" ht="15.75" spans="1:9">
      <c r="A18" s="30"/>
      <c r="B18" s="35" t="s">
        <v>1539</v>
      </c>
      <c r="C18" s="35"/>
      <c r="D18" s="35"/>
      <c r="E18" s="35"/>
      <c r="F18" s="38">
        <v>0.03</v>
      </c>
      <c r="G18" s="39">
        <v>0.03</v>
      </c>
      <c r="H18" s="38">
        <v>0.03</v>
      </c>
      <c r="I18" s="38">
        <f>G18</f>
        <v>0.03</v>
      </c>
    </row>
    <row r="19" ht="15.75" spans="1:9">
      <c r="A19" s="30"/>
      <c r="B19" s="35" t="s">
        <v>1540</v>
      </c>
      <c r="C19" s="35"/>
      <c r="D19" s="35"/>
      <c r="E19" s="35"/>
      <c r="F19" s="38">
        <v>0.0065</v>
      </c>
      <c r="G19" s="39">
        <v>0.0065</v>
      </c>
      <c r="H19" s="38">
        <v>0.0065</v>
      </c>
      <c r="I19" s="38">
        <f>G19</f>
        <v>0.0065</v>
      </c>
    </row>
    <row r="20" ht="15.75" spans="1:9">
      <c r="A20" s="30"/>
      <c r="B20" s="35" t="s">
        <v>1541</v>
      </c>
      <c r="C20" s="35"/>
      <c r="D20" s="35"/>
      <c r="E20" s="35"/>
      <c r="F20" s="38">
        <v>0.02</v>
      </c>
      <c r="G20" s="39">
        <v>0.045</v>
      </c>
      <c r="H20" s="38">
        <v>0.05</v>
      </c>
      <c r="I20" s="38">
        <f>G20</f>
        <v>0.045</v>
      </c>
    </row>
    <row r="21" ht="15.75" spans="1:9">
      <c r="A21" s="30"/>
      <c r="B21" s="35" t="s">
        <v>1542</v>
      </c>
      <c r="C21" s="35"/>
      <c r="D21" s="35"/>
      <c r="E21" s="35"/>
      <c r="F21" s="38">
        <v>0.045</v>
      </c>
      <c r="G21" s="39">
        <v>0.045</v>
      </c>
      <c r="H21" s="38">
        <v>0.045</v>
      </c>
      <c r="I21" s="38">
        <f>G21</f>
        <v>0.045</v>
      </c>
    </row>
    <row r="22" ht="15.75" spans="1:9">
      <c r="A22" s="30"/>
      <c r="B22" s="36" t="s">
        <v>1319</v>
      </c>
      <c r="C22" s="36"/>
      <c r="D22" s="36"/>
      <c r="E22" s="36"/>
      <c r="F22" s="36"/>
      <c r="G22" s="36"/>
      <c r="H22" s="36"/>
      <c r="I22" s="67">
        <f>SUM(I18:I21)</f>
        <v>0.1265</v>
      </c>
    </row>
    <row r="23" ht="15.75" spans="1:9">
      <c r="A23" s="40" t="s">
        <v>1543</v>
      </c>
      <c r="B23" s="40"/>
      <c r="C23" s="40"/>
      <c r="D23" s="40"/>
      <c r="E23" s="40"/>
      <c r="F23" s="40"/>
      <c r="G23" s="40"/>
      <c r="H23" s="40"/>
      <c r="I23" s="68">
        <f>F47</f>
        <v>0.3202</v>
      </c>
    </row>
    <row r="24" ht="15.75" spans="1:9">
      <c r="A24" s="28"/>
      <c r="B24" s="28"/>
      <c r="C24" s="28"/>
      <c r="D24" s="28"/>
      <c r="E24" s="28"/>
      <c r="F24" s="29"/>
      <c r="G24" s="29"/>
      <c r="H24" s="28"/>
      <c r="I24" s="29"/>
    </row>
    <row r="25" ht="15.75" spans="1:9">
      <c r="A25" s="31" t="s">
        <v>1544</v>
      </c>
      <c r="B25" s="31"/>
      <c r="C25" s="31"/>
      <c r="D25" s="31"/>
      <c r="E25" s="31"/>
      <c r="F25" s="31" t="s">
        <v>1545</v>
      </c>
      <c r="G25" s="31"/>
      <c r="H25" s="31"/>
      <c r="I25" s="31"/>
    </row>
    <row r="26" ht="15.75" spans="1:5">
      <c r="A26" s="41" t="s">
        <v>1546</v>
      </c>
      <c r="B26" s="42" t="s">
        <v>1547</v>
      </c>
      <c r="C26" s="42"/>
      <c r="D26" s="42"/>
      <c r="E26" s="42"/>
    </row>
    <row r="27" ht="15.75" spans="1:5">
      <c r="A27" s="43" t="s">
        <v>1548</v>
      </c>
      <c r="B27" s="44" t="s">
        <v>1549</v>
      </c>
      <c r="C27" s="44"/>
      <c r="D27" s="44"/>
      <c r="E27" s="44"/>
    </row>
    <row r="28" ht="15.75" spans="1:5">
      <c r="A28" s="43" t="s">
        <v>1550</v>
      </c>
      <c r="B28" s="44" t="s">
        <v>1537</v>
      </c>
      <c r="C28" s="44"/>
      <c r="D28" s="44"/>
      <c r="E28" s="44"/>
    </row>
    <row r="29" ht="15.75" spans="1:5">
      <c r="A29" s="43" t="s">
        <v>1551</v>
      </c>
      <c r="B29" s="44" t="s">
        <v>1552</v>
      </c>
      <c r="C29" s="44"/>
      <c r="D29" s="44"/>
      <c r="E29" s="44"/>
    </row>
    <row r="30" ht="15.75" spans="1:5">
      <c r="A30" s="28"/>
      <c r="B30" s="28"/>
      <c r="C30" s="28"/>
      <c r="D30" s="28"/>
      <c r="E30" s="28"/>
    </row>
    <row r="31" ht="15.75" spans="1:9">
      <c r="A31" s="45" t="s">
        <v>1553</v>
      </c>
      <c r="B31" s="46" t="s">
        <v>1554</v>
      </c>
      <c r="C31" s="46" t="s">
        <v>1555</v>
      </c>
      <c r="D31" s="46" t="s">
        <v>1556</v>
      </c>
      <c r="E31" s="47" t="s">
        <v>1557</v>
      </c>
      <c r="F31" s="29"/>
      <c r="G31" s="29"/>
      <c r="H31" s="28"/>
      <c r="I31" s="29"/>
    </row>
    <row r="32" ht="15.75" spans="1:9">
      <c r="A32" s="45"/>
      <c r="B32" s="48"/>
      <c r="C32" s="48" t="s">
        <v>1558</v>
      </c>
      <c r="D32" s="48"/>
      <c r="E32" s="47"/>
      <c r="F32" s="29"/>
      <c r="G32" s="29"/>
      <c r="H32" s="28"/>
      <c r="I32" s="29"/>
    </row>
    <row r="33" ht="15.75" spans="1:9">
      <c r="A33" s="28"/>
      <c r="B33" s="28"/>
      <c r="C33" s="28"/>
      <c r="D33" s="28"/>
      <c r="E33" s="28"/>
      <c r="F33" s="29"/>
      <c r="G33" s="29"/>
      <c r="H33" s="28"/>
      <c r="I33" s="29"/>
    </row>
    <row r="34" ht="15.75" spans="1:9">
      <c r="A34" s="28"/>
      <c r="B34" s="28"/>
      <c r="C34" s="28"/>
      <c r="D34" s="28"/>
      <c r="E34" s="28"/>
      <c r="F34" s="29"/>
      <c r="G34" s="29"/>
      <c r="H34" s="28"/>
      <c r="I34" s="29"/>
    </row>
    <row r="35" ht="15.75" spans="1:9">
      <c r="A35" s="45" t="s">
        <v>1553</v>
      </c>
      <c r="B35" s="49">
        <f>I12</f>
        <v>0.0607</v>
      </c>
      <c r="C35" s="49">
        <f>I14</f>
        <v>0.0123</v>
      </c>
      <c r="D35" s="50">
        <f>I16</f>
        <v>0.074</v>
      </c>
      <c r="E35" s="47" t="s">
        <v>1557</v>
      </c>
      <c r="F35" s="29"/>
      <c r="G35" s="29"/>
      <c r="H35" s="28"/>
      <c r="I35" s="29"/>
    </row>
    <row r="36" ht="15.75" spans="1:9">
      <c r="A36" s="45"/>
      <c r="B36" s="48"/>
      <c r="C36" s="51">
        <f>I22</f>
        <v>0.1265</v>
      </c>
      <c r="D36" s="48"/>
      <c r="E36" s="47"/>
      <c r="F36" s="29"/>
      <c r="G36" s="29"/>
      <c r="H36" s="28"/>
      <c r="I36" s="29"/>
    </row>
    <row r="37" ht="15.75" spans="1:9">
      <c r="A37" s="28"/>
      <c r="B37" s="28"/>
      <c r="C37" s="28"/>
      <c r="D37" s="28"/>
      <c r="E37" s="28"/>
      <c r="F37" s="29"/>
      <c r="G37" s="29"/>
      <c r="H37" s="28"/>
      <c r="I37" s="29"/>
    </row>
    <row r="38" ht="15.75" spans="1:9">
      <c r="A38" s="28"/>
      <c r="B38" s="28"/>
      <c r="C38" s="28"/>
      <c r="D38" s="28"/>
      <c r="E38" s="28"/>
      <c r="F38" s="29"/>
      <c r="G38" s="29"/>
      <c r="H38" s="28"/>
      <c r="I38" s="29"/>
    </row>
    <row r="39" ht="15.75" spans="1:9">
      <c r="A39" s="45" t="s">
        <v>1553</v>
      </c>
      <c r="B39" s="52">
        <f>I12+1</f>
        <v>1.0607</v>
      </c>
      <c r="C39" s="52">
        <f>I14+1</f>
        <v>1.0123</v>
      </c>
      <c r="D39" s="53">
        <f>I16+1</f>
        <v>1.074</v>
      </c>
      <c r="E39" s="47" t="s">
        <v>1557</v>
      </c>
      <c r="F39" s="29"/>
      <c r="G39" s="29"/>
      <c r="H39" s="28"/>
      <c r="I39" s="29"/>
    </row>
    <row r="40" ht="15.75" spans="1:9">
      <c r="A40" s="45"/>
      <c r="B40" s="48"/>
      <c r="C40" s="54">
        <f>1-I22</f>
        <v>0.8735</v>
      </c>
      <c r="D40" s="48"/>
      <c r="E40" s="47"/>
      <c r="F40" s="29"/>
      <c r="G40" s="29"/>
      <c r="H40" s="28"/>
      <c r="I40" s="29"/>
    </row>
    <row r="41" ht="15.75" spans="1:9">
      <c r="A41" s="28"/>
      <c r="B41" s="28"/>
      <c r="C41" s="28"/>
      <c r="D41" s="28"/>
      <c r="E41" s="28"/>
      <c r="F41" s="29"/>
      <c r="G41" s="29"/>
      <c r="H41" s="28"/>
      <c r="I41" s="29"/>
    </row>
    <row r="42" ht="15.75" spans="1:9">
      <c r="A42" s="28"/>
      <c r="B42" s="28"/>
      <c r="C42" s="28"/>
      <c r="D42" s="28"/>
      <c r="E42" s="28"/>
      <c r="F42" s="29"/>
      <c r="G42" s="29"/>
      <c r="H42" s="28"/>
      <c r="I42" s="29"/>
    </row>
    <row r="43" ht="15.75" spans="1:9">
      <c r="A43" s="45" t="s">
        <v>1553</v>
      </c>
      <c r="B43" s="53">
        <f>B39*C39*D39</f>
        <v>1.15320385914</v>
      </c>
      <c r="C43" s="55" t="s">
        <v>1559</v>
      </c>
      <c r="D43" s="28"/>
      <c r="E43" s="28"/>
      <c r="F43" s="29"/>
      <c r="G43" s="29"/>
      <c r="H43" s="28"/>
      <c r="I43" s="29"/>
    </row>
    <row r="44" ht="15.75" spans="1:9">
      <c r="A44" s="45"/>
      <c r="B44" s="54">
        <f>C40</f>
        <v>0.8735</v>
      </c>
      <c r="C44" s="55"/>
      <c r="D44" s="28"/>
      <c r="E44" s="28"/>
      <c r="F44" s="29"/>
      <c r="G44" s="29"/>
      <c r="H44" s="28"/>
      <c r="I44" s="29"/>
    </row>
    <row r="45" ht="15.75" spans="1:9">
      <c r="A45" s="28"/>
      <c r="B45" s="28"/>
      <c r="C45" s="28"/>
      <c r="D45" s="28"/>
      <c r="E45" s="28"/>
      <c r="F45" s="29"/>
      <c r="G45" s="29"/>
      <c r="H45" s="28"/>
      <c r="I45" s="29"/>
    </row>
    <row r="46" ht="15.75" spans="1:9">
      <c r="A46" s="28"/>
      <c r="B46" s="28"/>
      <c r="C46" s="28"/>
      <c r="D46" s="28"/>
      <c r="E46" s="28"/>
      <c r="F46" s="29"/>
      <c r="G46" s="29"/>
      <c r="H46" s="28"/>
      <c r="I46" s="29"/>
    </row>
    <row r="47" ht="15.75" spans="1:9">
      <c r="A47" s="45" t="s">
        <v>1553</v>
      </c>
      <c r="B47" s="56">
        <f>B43/B44</f>
        <v>1.32021048556382</v>
      </c>
      <c r="C47" s="55" t="s">
        <v>1559</v>
      </c>
      <c r="D47" s="28"/>
      <c r="E47" s="57" t="s">
        <v>1553</v>
      </c>
      <c r="F47" s="58">
        <f>ROUND(B47-1,4)</f>
        <v>0.3202</v>
      </c>
      <c r="G47" s="29"/>
      <c r="H47" s="28"/>
      <c r="I47" s="29"/>
    </row>
    <row r="48" ht="15.75" spans="1:9">
      <c r="A48" s="45"/>
      <c r="B48" s="56"/>
      <c r="C48" s="55"/>
      <c r="D48" s="28"/>
      <c r="E48" s="57"/>
      <c r="F48" s="58"/>
      <c r="G48" s="29"/>
      <c r="H48" s="28"/>
      <c r="I48" s="29"/>
    </row>
    <row r="49" ht="15.75" spans="1:9">
      <c r="A49" s="28"/>
      <c r="B49" s="28"/>
      <c r="C49" s="28"/>
      <c r="D49" s="28"/>
      <c r="E49" s="28"/>
      <c r="F49" s="29"/>
      <c r="G49" s="29"/>
      <c r="H49" s="28"/>
      <c r="I49" s="29"/>
    </row>
    <row r="50" ht="15.75" spans="1:9">
      <c r="A50" s="59" t="s">
        <v>1560</v>
      </c>
      <c r="B50" s="59"/>
      <c r="C50" s="59"/>
      <c r="D50" s="59"/>
      <c r="E50" s="59"/>
      <c r="F50" s="59"/>
      <c r="G50" s="59"/>
      <c r="H50" s="59"/>
      <c r="I50" s="59"/>
    </row>
    <row r="51" ht="15.75" spans="1:9">
      <c r="A51" s="60" t="s">
        <v>1561</v>
      </c>
      <c r="B51" s="60"/>
      <c r="C51" s="60"/>
      <c r="D51" s="60"/>
      <c r="E51" s="60"/>
      <c r="F51" s="60"/>
      <c r="G51" s="60"/>
      <c r="H51" s="60"/>
      <c r="I51" s="60"/>
    </row>
    <row r="52" ht="15.75" customHeight="1" spans="1:9">
      <c r="A52" s="61" t="s">
        <v>1562</v>
      </c>
      <c r="B52" s="61"/>
      <c r="C52" s="61"/>
      <c r="D52" s="61"/>
      <c r="E52" s="61"/>
      <c r="F52" s="61"/>
      <c r="G52" s="61"/>
      <c r="H52" s="61"/>
      <c r="I52" s="61"/>
    </row>
    <row r="53" spans="1:9">
      <c r="A53" s="61"/>
      <c r="B53" s="61"/>
      <c r="C53" s="61"/>
      <c r="D53" s="61"/>
      <c r="E53" s="61"/>
      <c r="F53" s="61"/>
      <c r="G53" s="61"/>
      <c r="H53" s="61"/>
      <c r="I53" s="61"/>
    </row>
  </sheetData>
  <mergeCells count="48">
    <mergeCell ref="A1:I1"/>
    <mergeCell ref="A2:I2"/>
    <mergeCell ref="A4:I4"/>
    <mergeCell ref="A5:I5"/>
    <mergeCell ref="F7:H7"/>
    <mergeCell ref="B9:E9"/>
    <mergeCell ref="B10:E10"/>
    <mergeCell ref="B11:E11"/>
    <mergeCell ref="B12:H12"/>
    <mergeCell ref="B13:E13"/>
    <mergeCell ref="B14:H14"/>
    <mergeCell ref="B15:E15"/>
    <mergeCell ref="B16:H16"/>
    <mergeCell ref="B17:H17"/>
    <mergeCell ref="B18:E18"/>
    <mergeCell ref="B19:E19"/>
    <mergeCell ref="B20:E20"/>
    <mergeCell ref="B21:E21"/>
    <mergeCell ref="B22:H22"/>
    <mergeCell ref="A23:H23"/>
    <mergeCell ref="A25:E25"/>
    <mergeCell ref="F25:I25"/>
    <mergeCell ref="B26:E26"/>
    <mergeCell ref="B27:E27"/>
    <mergeCell ref="B28:E28"/>
    <mergeCell ref="B29:E29"/>
    <mergeCell ref="A50:I50"/>
    <mergeCell ref="A51:I51"/>
    <mergeCell ref="A9:A12"/>
    <mergeCell ref="A13:A14"/>
    <mergeCell ref="A15:A16"/>
    <mergeCell ref="A17:A22"/>
    <mergeCell ref="A31:A32"/>
    <mergeCell ref="A35:A36"/>
    <mergeCell ref="A39:A40"/>
    <mergeCell ref="A43:A44"/>
    <mergeCell ref="A47:A48"/>
    <mergeCell ref="B47:B48"/>
    <mergeCell ref="C43:C44"/>
    <mergeCell ref="C47:C48"/>
    <mergeCell ref="E31:E32"/>
    <mergeCell ref="E35:E36"/>
    <mergeCell ref="E39:E40"/>
    <mergeCell ref="E47:E48"/>
    <mergeCell ref="F47:F48"/>
    <mergeCell ref="I7:I8"/>
    <mergeCell ref="A52:I53"/>
    <mergeCell ref="A7:E8"/>
  </mergeCells>
  <pageMargins left="0.511805555555556" right="0.511805555555556" top="1.44791666666667" bottom="0.786805555555556" header="0.313888888888889" footer="0.313888888888889"/>
  <pageSetup paperSize="9" scale="79" orientation="portrait"/>
  <headerFooter>
    <oddHeader>&amp;C&amp;G
DEFENSORIA PÚBLICA DO ESTADO DE RORAIMA
“Amazônia: Patrimônio dos brasileiros”
____________________________________________________________________________________________________</oddHeader>
  </headerFooter>
  <colBreaks count="1" manualBreakCount="1">
    <brk id="9" max="1048575" man="1"/>
  </colBreaks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52"/>
  <sheetViews>
    <sheetView view="pageBreakPreview" zoomScale="85" zoomScaleNormal="100" zoomScaleSheetLayoutView="85" topLeftCell="A13" workbookViewId="0">
      <selection activeCell="K24" sqref="K24"/>
    </sheetView>
  </sheetViews>
  <sheetFormatPr defaultColWidth="9" defaultRowHeight="15"/>
  <cols>
    <col min="1" max="1" width="9" style="19"/>
    <col min="2" max="3" width="16.4285714285714" style="19" customWidth="1"/>
    <col min="4" max="4" width="14.8571428571429" style="19" customWidth="1"/>
    <col min="5" max="5" width="6.57142857142857" style="19" customWidth="1"/>
    <col min="6" max="6" width="10.8571428571429" style="19" customWidth="1"/>
    <col min="7" max="7" width="9.28571428571429" style="19" customWidth="1"/>
    <col min="8" max="8" width="10.8571428571429" style="19" customWidth="1"/>
    <col min="9" max="9" width="21.4285714285714" style="19" customWidth="1"/>
    <col min="11" max="11" width="12.8571428571429"/>
  </cols>
  <sheetData>
    <row r="1" ht="16.5" spans="1:9">
      <c r="A1" s="20" t="s">
        <v>1563</v>
      </c>
      <c r="B1" s="21"/>
      <c r="C1" s="21"/>
      <c r="D1" s="21"/>
      <c r="E1" s="21"/>
      <c r="F1" s="21"/>
      <c r="G1" s="21"/>
      <c r="H1" s="21"/>
      <c r="I1" s="62"/>
    </row>
    <row r="2" ht="31.5" customHeight="1" spans="1:9">
      <c r="A2" s="22" t="str">
        <f>'PB III - Orçamento Sintetico'!A4:G4</f>
        <v>OBRA: CONSTRUÇÃO DA SEDE DA DEFENSORIA PÚBLICA DO ESTADO DE RORAIMA NO MUNICIPIO DE ALTO ALEGRE - DPE/RR</v>
      </c>
      <c r="B2" s="23"/>
      <c r="C2" s="23"/>
      <c r="D2" s="23"/>
      <c r="E2" s="23"/>
      <c r="F2" s="23"/>
      <c r="G2" s="23"/>
      <c r="H2" s="23"/>
      <c r="I2" s="63"/>
    </row>
    <row r="3" ht="15.75" spans="1:9">
      <c r="A3" s="24"/>
      <c r="B3" s="25"/>
      <c r="C3" s="25"/>
      <c r="D3" s="25"/>
      <c r="E3" s="25"/>
      <c r="F3" s="25"/>
      <c r="G3" s="25"/>
      <c r="H3" s="25"/>
      <c r="I3" s="64"/>
    </row>
    <row r="4" ht="15.75" spans="1:9">
      <c r="A4" s="26" t="s">
        <v>1564</v>
      </c>
      <c r="B4" s="26"/>
      <c r="C4" s="26"/>
      <c r="D4" s="26"/>
      <c r="E4" s="26"/>
      <c r="F4" s="26"/>
      <c r="G4" s="26"/>
      <c r="H4" s="26"/>
      <c r="I4" s="26"/>
    </row>
    <row r="5" spans="1:9">
      <c r="A5" s="27"/>
      <c r="B5" s="27"/>
      <c r="C5" s="27"/>
      <c r="D5" s="27"/>
      <c r="E5" s="27"/>
      <c r="F5" s="27"/>
      <c r="G5" s="27"/>
      <c r="H5" s="27"/>
      <c r="I5" s="27"/>
    </row>
    <row r="6" ht="15.75" spans="1:9">
      <c r="A6" s="28"/>
      <c r="B6" s="28"/>
      <c r="C6" s="28"/>
      <c r="D6" s="28"/>
      <c r="E6" s="28"/>
      <c r="F6" s="29"/>
      <c r="G6" s="29"/>
      <c r="H6" s="28"/>
      <c r="I6" s="29"/>
    </row>
    <row r="7" ht="15.75" spans="1:9">
      <c r="A7" s="30" t="s">
        <v>1524</v>
      </c>
      <c r="B7" s="30"/>
      <c r="C7" s="30"/>
      <c r="D7" s="30"/>
      <c r="E7" s="30"/>
      <c r="F7" s="30" t="s">
        <v>1525</v>
      </c>
      <c r="G7" s="30"/>
      <c r="H7" s="30"/>
      <c r="I7" s="65" t="s">
        <v>1526</v>
      </c>
    </row>
    <row r="8" ht="15.75" spans="1:9">
      <c r="A8" s="30"/>
      <c r="B8" s="30"/>
      <c r="C8" s="30"/>
      <c r="D8" s="30"/>
      <c r="E8" s="30"/>
      <c r="F8" s="31" t="s">
        <v>1527</v>
      </c>
      <c r="G8" s="31" t="s">
        <v>1528</v>
      </c>
      <c r="H8" s="31" t="s">
        <v>1529</v>
      </c>
      <c r="I8" s="65"/>
    </row>
    <row r="9" ht="15.75" spans="1:9">
      <c r="A9" s="30" t="s">
        <v>1530</v>
      </c>
      <c r="B9" s="32" t="s">
        <v>1531</v>
      </c>
      <c r="C9" s="32"/>
      <c r="D9" s="32"/>
      <c r="E9" s="32"/>
      <c r="F9" s="33">
        <v>0.015</v>
      </c>
      <c r="G9" s="34">
        <v>0.0345</v>
      </c>
      <c r="H9" s="33">
        <v>0.0449</v>
      </c>
      <c r="I9" s="33">
        <f>G9</f>
        <v>0.0345</v>
      </c>
    </row>
    <row r="10" ht="15.75" spans="1:9">
      <c r="A10" s="30"/>
      <c r="B10" s="35" t="s">
        <v>1532</v>
      </c>
      <c r="C10" s="35"/>
      <c r="D10" s="35"/>
      <c r="E10" s="35"/>
      <c r="F10" s="33">
        <v>0.003</v>
      </c>
      <c r="G10" s="34">
        <v>0.0048</v>
      </c>
      <c r="H10" s="33">
        <v>0.0082</v>
      </c>
      <c r="I10" s="33">
        <f>G10</f>
        <v>0.0048</v>
      </c>
    </row>
    <row r="11" ht="15.75" spans="1:9">
      <c r="A11" s="30"/>
      <c r="B11" s="35" t="s">
        <v>1533</v>
      </c>
      <c r="C11" s="35"/>
      <c r="D11" s="35"/>
      <c r="E11" s="35"/>
      <c r="F11" s="33">
        <v>0.0056</v>
      </c>
      <c r="G11" s="34">
        <v>0.0085</v>
      </c>
      <c r="H11" s="33">
        <v>0.0089</v>
      </c>
      <c r="I11" s="33">
        <f>G11</f>
        <v>0.0085</v>
      </c>
    </row>
    <row r="12" ht="15.75" spans="1:9">
      <c r="A12" s="30"/>
      <c r="B12" s="36" t="s">
        <v>1319</v>
      </c>
      <c r="C12" s="36"/>
      <c r="D12" s="36"/>
      <c r="E12" s="36"/>
      <c r="F12" s="36"/>
      <c r="G12" s="36"/>
      <c r="H12" s="36"/>
      <c r="I12" s="39">
        <f>SUM(I9:I11)</f>
        <v>0.0478</v>
      </c>
    </row>
    <row r="13" ht="15.75" spans="1:9">
      <c r="A13" s="30" t="s">
        <v>1534</v>
      </c>
      <c r="B13" s="32" t="s">
        <v>1535</v>
      </c>
      <c r="C13" s="32"/>
      <c r="D13" s="32"/>
      <c r="E13" s="32"/>
      <c r="F13" s="33">
        <v>0.0085</v>
      </c>
      <c r="G13" s="34">
        <v>0.0085</v>
      </c>
      <c r="H13" s="33">
        <v>0.0111</v>
      </c>
      <c r="I13" s="38">
        <f>G13</f>
        <v>0.0085</v>
      </c>
    </row>
    <row r="14" ht="15.75" spans="1:9">
      <c r="A14" s="30"/>
      <c r="B14" s="36" t="s">
        <v>1319</v>
      </c>
      <c r="C14" s="36"/>
      <c r="D14" s="36"/>
      <c r="E14" s="36"/>
      <c r="F14" s="36"/>
      <c r="G14" s="36"/>
      <c r="H14" s="36"/>
      <c r="I14" s="39">
        <f>I13</f>
        <v>0.0085</v>
      </c>
    </row>
    <row r="15" ht="15.75" spans="1:9">
      <c r="A15" s="30" t="s">
        <v>1536</v>
      </c>
      <c r="B15" s="32" t="s">
        <v>1537</v>
      </c>
      <c r="C15" s="32"/>
      <c r="D15" s="32"/>
      <c r="E15" s="32"/>
      <c r="F15" s="33">
        <v>0.035</v>
      </c>
      <c r="G15" s="34">
        <v>0.0511</v>
      </c>
      <c r="H15" s="33">
        <v>0.0622</v>
      </c>
      <c r="I15" s="38">
        <f>G15</f>
        <v>0.0511</v>
      </c>
    </row>
    <row r="16" ht="15.75" spans="1:9">
      <c r="A16" s="30"/>
      <c r="B16" s="36" t="s">
        <v>1319</v>
      </c>
      <c r="C16" s="36"/>
      <c r="D16" s="36"/>
      <c r="E16" s="36"/>
      <c r="F16" s="36"/>
      <c r="G16" s="36"/>
      <c r="H16" s="36"/>
      <c r="I16" s="39">
        <f>I15</f>
        <v>0.0511</v>
      </c>
    </row>
    <row r="17" ht="15.75" spans="1:9">
      <c r="A17" s="30" t="s">
        <v>303</v>
      </c>
      <c r="B17" s="37" t="s">
        <v>1538</v>
      </c>
      <c r="C17" s="37"/>
      <c r="D17" s="37"/>
      <c r="E17" s="37"/>
      <c r="F17" s="37"/>
      <c r="G17" s="37"/>
      <c r="H17" s="37"/>
      <c r="I17" s="66"/>
    </row>
    <row r="18" ht="15.75" spans="1:9">
      <c r="A18" s="30"/>
      <c r="B18" s="35" t="s">
        <v>1539</v>
      </c>
      <c r="C18" s="35"/>
      <c r="D18" s="35"/>
      <c r="E18" s="35"/>
      <c r="F18" s="38">
        <v>0.03</v>
      </c>
      <c r="G18" s="39">
        <v>0.03</v>
      </c>
      <c r="H18" s="38">
        <v>0.03</v>
      </c>
      <c r="I18" s="38">
        <f>G18</f>
        <v>0.03</v>
      </c>
    </row>
    <row r="19" ht="15.75" spans="1:9">
      <c r="A19" s="30"/>
      <c r="B19" s="35" t="s">
        <v>1540</v>
      </c>
      <c r="C19" s="35"/>
      <c r="D19" s="35"/>
      <c r="E19" s="35"/>
      <c r="F19" s="38">
        <v>0.0065</v>
      </c>
      <c r="G19" s="39">
        <v>0.0065</v>
      </c>
      <c r="H19" s="38">
        <v>0.0065</v>
      </c>
      <c r="I19" s="38">
        <f>G19</f>
        <v>0.0065</v>
      </c>
    </row>
    <row r="20" ht="15.75" spans="1:9">
      <c r="A20" s="30"/>
      <c r="B20" s="35" t="s">
        <v>1542</v>
      </c>
      <c r="C20" s="35"/>
      <c r="D20" s="35"/>
      <c r="E20" s="35"/>
      <c r="F20" s="38">
        <v>0.045</v>
      </c>
      <c r="G20" s="39">
        <v>0.045</v>
      </c>
      <c r="H20" s="38">
        <v>0.045</v>
      </c>
      <c r="I20" s="38">
        <f>G20</f>
        <v>0.045</v>
      </c>
    </row>
    <row r="21" ht="15.75" spans="1:9">
      <c r="A21" s="30"/>
      <c r="B21" s="36" t="s">
        <v>1319</v>
      </c>
      <c r="C21" s="36"/>
      <c r="D21" s="36"/>
      <c r="E21" s="36"/>
      <c r="F21" s="36"/>
      <c r="G21" s="36"/>
      <c r="H21" s="36"/>
      <c r="I21" s="67">
        <f>SUM(I18:I20)</f>
        <v>0.0815</v>
      </c>
    </row>
    <row r="22" ht="15.75" spans="1:9">
      <c r="A22" s="40" t="s">
        <v>1543</v>
      </c>
      <c r="B22" s="40"/>
      <c r="C22" s="40"/>
      <c r="D22" s="40"/>
      <c r="E22" s="40"/>
      <c r="F22" s="40"/>
      <c r="G22" s="40"/>
      <c r="H22" s="40"/>
      <c r="I22" s="68">
        <f>F46</f>
        <v>0.2093</v>
      </c>
    </row>
    <row r="23" ht="15.75" spans="1:9">
      <c r="A23" s="28"/>
      <c r="B23" s="28"/>
      <c r="C23" s="28"/>
      <c r="D23" s="28"/>
      <c r="E23" s="28"/>
      <c r="F23" s="29"/>
      <c r="G23" s="29"/>
      <c r="H23" s="28"/>
      <c r="I23" s="29"/>
    </row>
    <row r="24" ht="15.75" spans="1:9">
      <c r="A24" s="31" t="s">
        <v>1544</v>
      </c>
      <c r="B24" s="31"/>
      <c r="C24" s="31"/>
      <c r="D24" s="31"/>
      <c r="E24" s="31"/>
      <c r="F24" s="31" t="s">
        <v>1545</v>
      </c>
      <c r="G24" s="31"/>
      <c r="H24" s="31"/>
      <c r="I24" s="31"/>
    </row>
    <row r="25" ht="15.75" spans="1:5">
      <c r="A25" s="41" t="s">
        <v>1546</v>
      </c>
      <c r="B25" s="42" t="s">
        <v>1547</v>
      </c>
      <c r="C25" s="42"/>
      <c r="D25" s="42"/>
      <c r="E25" s="42"/>
    </row>
    <row r="26" ht="15.75" spans="1:5">
      <c r="A26" s="43" t="s">
        <v>1548</v>
      </c>
      <c r="B26" s="44" t="s">
        <v>1549</v>
      </c>
      <c r="C26" s="44"/>
      <c r="D26" s="44"/>
      <c r="E26" s="44"/>
    </row>
    <row r="27" ht="15.75" spans="1:5">
      <c r="A27" s="43" t="s">
        <v>1550</v>
      </c>
      <c r="B27" s="44" t="s">
        <v>1537</v>
      </c>
      <c r="C27" s="44"/>
      <c r="D27" s="44"/>
      <c r="E27" s="44"/>
    </row>
    <row r="28" ht="15.75" spans="1:5">
      <c r="A28" s="43" t="s">
        <v>1551</v>
      </c>
      <c r="B28" s="44" t="s">
        <v>1552</v>
      </c>
      <c r="C28" s="44"/>
      <c r="D28" s="44"/>
      <c r="E28" s="44"/>
    </row>
    <row r="29" ht="15.75" spans="1:5">
      <c r="A29" s="28"/>
      <c r="B29" s="28"/>
      <c r="C29" s="28"/>
      <c r="D29" s="28"/>
      <c r="E29" s="28"/>
    </row>
    <row r="30" ht="15.75" spans="1:9">
      <c r="A30" s="45" t="s">
        <v>1553</v>
      </c>
      <c r="B30" s="46" t="s">
        <v>1554</v>
      </c>
      <c r="C30" s="46" t="s">
        <v>1555</v>
      </c>
      <c r="D30" s="46" t="s">
        <v>1556</v>
      </c>
      <c r="E30" s="47" t="s">
        <v>1557</v>
      </c>
      <c r="F30" s="29"/>
      <c r="G30" s="29"/>
      <c r="H30" s="28"/>
      <c r="I30" s="29"/>
    </row>
    <row r="31" ht="15.75" spans="1:9">
      <c r="A31" s="45"/>
      <c r="B31" s="48"/>
      <c r="C31" s="48" t="s">
        <v>1558</v>
      </c>
      <c r="D31" s="48"/>
      <c r="E31" s="47"/>
      <c r="F31" s="29"/>
      <c r="G31" s="29"/>
      <c r="H31" s="28"/>
      <c r="I31" s="29"/>
    </row>
    <row r="32" ht="15.75" spans="1:9">
      <c r="A32" s="28"/>
      <c r="B32" s="28"/>
      <c r="C32" s="28"/>
      <c r="D32" s="28"/>
      <c r="E32" s="28"/>
      <c r="F32" s="29"/>
      <c r="G32" s="29"/>
      <c r="H32" s="28"/>
      <c r="I32" s="29"/>
    </row>
    <row r="33" ht="15.75" spans="1:9">
      <c r="A33" s="28"/>
      <c r="B33" s="28"/>
      <c r="C33" s="28"/>
      <c r="D33" s="28"/>
      <c r="E33" s="28"/>
      <c r="F33" s="29"/>
      <c r="G33" s="29"/>
      <c r="H33" s="28"/>
      <c r="I33" s="29"/>
    </row>
    <row r="34" ht="15.75" spans="1:9">
      <c r="A34" s="45" t="s">
        <v>1553</v>
      </c>
      <c r="B34" s="49">
        <f>I12</f>
        <v>0.0478</v>
      </c>
      <c r="C34" s="49">
        <f>I14</f>
        <v>0.0085</v>
      </c>
      <c r="D34" s="50">
        <f>I16</f>
        <v>0.0511</v>
      </c>
      <c r="E34" s="47" t="s">
        <v>1557</v>
      </c>
      <c r="F34" s="29"/>
      <c r="G34" s="29"/>
      <c r="H34" s="28"/>
      <c r="I34" s="29"/>
    </row>
    <row r="35" ht="15.75" spans="1:9">
      <c r="A35" s="45"/>
      <c r="B35" s="48"/>
      <c r="C35" s="51">
        <f>I21</f>
        <v>0.0815</v>
      </c>
      <c r="D35" s="48"/>
      <c r="E35" s="47"/>
      <c r="F35" s="29"/>
      <c r="G35" s="29"/>
      <c r="H35" s="28"/>
      <c r="I35" s="29"/>
    </row>
    <row r="36" ht="15.75" spans="1:9">
      <c r="A36" s="28"/>
      <c r="B36" s="28"/>
      <c r="C36" s="28"/>
      <c r="D36" s="28"/>
      <c r="E36" s="28"/>
      <c r="F36" s="29"/>
      <c r="G36" s="29"/>
      <c r="H36" s="28"/>
      <c r="I36" s="29"/>
    </row>
    <row r="37" ht="15.75" spans="1:9">
      <c r="A37" s="28"/>
      <c r="B37" s="28"/>
      <c r="C37" s="28"/>
      <c r="D37" s="28"/>
      <c r="E37" s="28"/>
      <c r="F37" s="29"/>
      <c r="G37" s="29"/>
      <c r="H37" s="28"/>
      <c r="I37" s="29"/>
    </row>
    <row r="38" ht="15.75" spans="1:9">
      <c r="A38" s="45" t="s">
        <v>1553</v>
      </c>
      <c r="B38" s="52">
        <f>I12+1</f>
        <v>1.0478</v>
      </c>
      <c r="C38" s="52">
        <f>I14+1</f>
        <v>1.0085</v>
      </c>
      <c r="D38" s="53">
        <f>I16+1</f>
        <v>1.0511</v>
      </c>
      <c r="E38" s="47" t="s">
        <v>1557</v>
      </c>
      <c r="F38" s="29"/>
      <c r="G38" s="29"/>
      <c r="H38" s="28"/>
      <c r="I38" s="29"/>
    </row>
    <row r="39" ht="15.75" spans="1:9">
      <c r="A39" s="45"/>
      <c r="B39" s="48"/>
      <c r="C39" s="54">
        <f>1-I21</f>
        <v>0.9185</v>
      </c>
      <c r="D39" s="48"/>
      <c r="E39" s="47"/>
      <c r="F39" s="29"/>
      <c r="G39" s="29"/>
      <c r="H39" s="28"/>
      <c r="I39" s="29"/>
    </row>
    <row r="40" ht="15.75" spans="1:9">
      <c r="A40" s="28"/>
      <c r="B40" s="28"/>
      <c r="C40" s="28"/>
      <c r="D40" s="28"/>
      <c r="E40" s="28"/>
      <c r="F40" s="29"/>
      <c r="G40" s="29"/>
      <c r="H40" s="28"/>
      <c r="I40" s="29"/>
    </row>
    <row r="41" ht="15.75" spans="1:9">
      <c r="A41" s="28"/>
      <c r="B41" s="28"/>
      <c r="C41" s="28"/>
      <c r="D41" s="28"/>
      <c r="E41" s="28"/>
      <c r="F41" s="29"/>
      <c r="G41" s="29"/>
      <c r="H41" s="28"/>
      <c r="I41" s="29"/>
    </row>
    <row r="42" ht="15.75" spans="1:9">
      <c r="A42" s="45" t="s">
        <v>1553</v>
      </c>
      <c r="B42" s="53">
        <f>B38*C38*D38</f>
        <v>1.11070399193</v>
      </c>
      <c r="C42" s="55" t="s">
        <v>1559</v>
      </c>
      <c r="D42" s="28"/>
      <c r="E42" s="28"/>
      <c r="F42" s="29"/>
      <c r="G42" s="29"/>
      <c r="H42" s="28"/>
      <c r="I42" s="29"/>
    </row>
    <row r="43" ht="15.75" spans="1:9">
      <c r="A43" s="45"/>
      <c r="B43" s="54">
        <f>C39</f>
        <v>0.9185</v>
      </c>
      <c r="C43" s="55"/>
      <c r="D43" s="28"/>
      <c r="E43" s="28"/>
      <c r="F43" s="29"/>
      <c r="G43" s="29"/>
      <c r="H43" s="28"/>
      <c r="I43" s="29"/>
    </row>
    <row r="44" ht="15.75" spans="1:9">
      <c r="A44" s="28"/>
      <c r="B44" s="28"/>
      <c r="C44" s="28"/>
      <c r="D44" s="28"/>
      <c r="E44" s="28"/>
      <c r="F44" s="29"/>
      <c r="G44" s="29"/>
      <c r="H44" s="28"/>
      <c r="I44" s="29"/>
    </row>
    <row r="45" ht="15.75" spans="1:9">
      <c r="A45" s="28"/>
      <c r="B45" s="28"/>
      <c r="C45" s="28"/>
      <c r="D45" s="28"/>
      <c r="E45" s="28"/>
      <c r="F45" s="29"/>
      <c r="G45" s="29"/>
      <c r="H45" s="28"/>
      <c r="I45" s="29"/>
    </row>
    <row r="46" ht="15.75" spans="1:9">
      <c r="A46" s="45" t="s">
        <v>1553</v>
      </c>
      <c r="B46" s="56">
        <f>B42/B43</f>
        <v>1.2092585649755</v>
      </c>
      <c r="C46" s="55" t="s">
        <v>1559</v>
      </c>
      <c r="D46" s="28"/>
      <c r="E46" s="57" t="s">
        <v>1553</v>
      </c>
      <c r="F46" s="58">
        <f>ROUND(B46-1,4)</f>
        <v>0.2093</v>
      </c>
      <c r="G46" s="29"/>
      <c r="H46" s="28"/>
      <c r="I46" s="29"/>
    </row>
    <row r="47" ht="15.75" spans="1:9">
      <c r="A47" s="45"/>
      <c r="B47" s="56"/>
      <c r="C47" s="55"/>
      <c r="D47" s="28"/>
      <c r="E47" s="57"/>
      <c r="F47" s="58"/>
      <c r="G47" s="29"/>
      <c r="H47" s="28"/>
      <c r="I47" s="29"/>
    </row>
    <row r="48" ht="15.75" spans="1:9">
      <c r="A48" s="28"/>
      <c r="B48" s="28"/>
      <c r="C48" s="28"/>
      <c r="D48" s="28"/>
      <c r="E48" s="28"/>
      <c r="F48" s="29"/>
      <c r="G48" s="29"/>
      <c r="H48" s="28"/>
      <c r="I48" s="29"/>
    </row>
    <row r="49" ht="15.75" spans="1:9">
      <c r="A49" s="59" t="s">
        <v>1560</v>
      </c>
      <c r="B49" s="59"/>
      <c r="C49" s="59"/>
      <c r="D49" s="59"/>
      <c r="E49" s="59"/>
      <c r="F49" s="59"/>
      <c r="G49" s="59"/>
      <c r="H49" s="59"/>
      <c r="I49" s="59"/>
    </row>
    <row r="50" ht="15.75" spans="1:9">
      <c r="A50" s="60" t="s">
        <v>1561</v>
      </c>
      <c r="B50" s="60"/>
      <c r="C50" s="60"/>
      <c r="D50" s="60"/>
      <c r="E50" s="60"/>
      <c r="F50" s="60"/>
      <c r="G50" s="60"/>
      <c r="H50" s="60"/>
      <c r="I50" s="60"/>
    </row>
    <row r="51" ht="15.75" customHeight="1" spans="1:9">
      <c r="A51" s="61" t="s">
        <v>1562</v>
      </c>
      <c r="B51" s="61"/>
      <c r="C51" s="61"/>
      <c r="D51" s="61"/>
      <c r="E51" s="61"/>
      <c r="F51" s="61"/>
      <c r="G51" s="61"/>
      <c r="H51" s="61"/>
      <c r="I51" s="61"/>
    </row>
    <row r="52" spans="1:9">
      <c r="A52" s="61"/>
      <c r="B52" s="61"/>
      <c r="C52" s="61"/>
      <c r="D52" s="61"/>
      <c r="E52" s="61"/>
      <c r="F52" s="61"/>
      <c r="G52" s="61"/>
      <c r="H52" s="61"/>
      <c r="I52" s="61"/>
    </row>
  </sheetData>
  <mergeCells count="47">
    <mergeCell ref="A1:I1"/>
    <mergeCell ref="A2:I2"/>
    <mergeCell ref="A4:I4"/>
    <mergeCell ref="A5:I5"/>
    <mergeCell ref="F7:H7"/>
    <mergeCell ref="B9:E9"/>
    <mergeCell ref="B10:E10"/>
    <mergeCell ref="B11:E11"/>
    <mergeCell ref="B12:H12"/>
    <mergeCell ref="B13:E13"/>
    <mergeCell ref="B14:H14"/>
    <mergeCell ref="B15:E15"/>
    <mergeCell ref="B16:H16"/>
    <mergeCell ref="B17:H17"/>
    <mergeCell ref="B18:E18"/>
    <mergeCell ref="B19:E19"/>
    <mergeCell ref="B20:E20"/>
    <mergeCell ref="B21:H21"/>
    <mergeCell ref="A22:H22"/>
    <mergeCell ref="A24:E24"/>
    <mergeCell ref="F24:I24"/>
    <mergeCell ref="B25:E25"/>
    <mergeCell ref="B26:E26"/>
    <mergeCell ref="B27:E27"/>
    <mergeCell ref="B28:E28"/>
    <mergeCell ref="A49:I49"/>
    <mergeCell ref="A50:I50"/>
    <mergeCell ref="A9:A12"/>
    <mergeCell ref="A13:A14"/>
    <mergeCell ref="A15:A16"/>
    <mergeCell ref="A17:A21"/>
    <mergeCell ref="A30:A31"/>
    <mergeCell ref="A34:A35"/>
    <mergeCell ref="A38:A39"/>
    <mergeCell ref="A42:A43"/>
    <mergeCell ref="A46:A47"/>
    <mergeCell ref="B46:B47"/>
    <mergeCell ref="C42:C43"/>
    <mergeCell ref="C46:C47"/>
    <mergeCell ref="E30:E31"/>
    <mergeCell ref="E34:E35"/>
    <mergeCell ref="E38:E39"/>
    <mergeCell ref="E46:E47"/>
    <mergeCell ref="F46:F47"/>
    <mergeCell ref="I7:I8"/>
    <mergeCell ref="A7:E8"/>
    <mergeCell ref="A51:I52"/>
  </mergeCells>
  <pageMargins left="0.511805555555556" right="0.511805555555556" top="1.44791666666667" bottom="0.786805555555556" header="0.313888888888889" footer="0.313888888888889"/>
  <pageSetup paperSize="9" scale="79" orientation="portrait"/>
  <headerFooter>
    <oddHeader>&amp;C&amp;G
DEFENSORIA PÚBLICA DO ESTADO DE RORAIMA
“Amazônia: Patrimônio dos brasileiros”
____________________________________________________________________________________________________</oddHeader>
  </headerFooter>
  <colBreaks count="1" manualBreakCount="1">
    <brk id="9" max="1048575" man="1"/>
  </colBreaks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44"/>
  <sheetViews>
    <sheetView view="pageBreakPreview" zoomScaleNormal="100" zoomScaleSheetLayoutView="100" topLeftCell="A19" workbookViewId="0">
      <selection activeCell="I37" sqref="I37"/>
    </sheetView>
  </sheetViews>
  <sheetFormatPr defaultColWidth="9" defaultRowHeight="15.75" outlineLevelCol="3"/>
  <cols>
    <col min="1" max="1" width="10.2857142857143" style="1" customWidth="1"/>
    <col min="2" max="2" width="34.8571428571429" style="1" customWidth="1"/>
    <col min="3" max="3" width="20.4285714285714" style="1" customWidth="1"/>
    <col min="4" max="4" width="24.7142857142857" style="1" customWidth="1"/>
  </cols>
  <sheetData>
    <row r="1" spans="1:4">
      <c r="A1" s="2" t="s">
        <v>1565</v>
      </c>
      <c r="B1" s="2"/>
      <c r="C1" s="2"/>
      <c r="D1" s="2"/>
    </row>
    <row r="2" spans="1:4">
      <c r="A2" s="3"/>
      <c r="B2" s="4"/>
      <c r="C2" s="4"/>
      <c r="D2" s="5"/>
    </row>
    <row r="3" ht="30.75" customHeight="1" spans="1:4">
      <c r="A3" s="6" t="str">
        <f>'PB III - Orçamento Sintetico'!A4:G4</f>
        <v>OBRA: CONSTRUÇÃO DA SEDE DA DEFENSORIA PÚBLICA DO ESTADO DE RORAIMA NO MUNICIPIO DE ALTO ALEGRE - DPE/RR</v>
      </c>
      <c r="B3" s="6"/>
      <c r="C3" s="6"/>
      <c r="D3" s="6"/>
    </row>
    <row r="4" spans="1:4">
      <c r="A4" s="3"/>
      <c r="B4" s="4"/>
      <c r="C4" s="4"/>
      <c r="D4" s="5"/>
    </row>
    <row r="5" spans="1:4">
      <c r="A5" s="7" t="s">
        <v>4</v>
      </c>
      <c r="B5" s="8" t="s">
        <v>804</v>
      </c>
      <c r="C5" s="9" t="s">
        <v>1566</v>
      </c>
      <c r="D5" s="9" t="s">
        <v>1567</v>
      </c>
    </row>
    <row r="6" spans="1:4">
      <c r="A6" s="10" t="s">
        <v>1568</v>
      </c>
      <c r="B6" s="10"/>
      <c r="C6" s="10"/>
      <c r="D6" s="10"/>
    </row>
    <row r="7" spans="1:4">
      <c r="A7" s="11" t="s">
        <v>1569</v>
      </c>
      <c r="B7" s="12" t="s">
        <v>1570</v>
      </c>
      <c r="C7" s="13">
        <v>0</v>
      </c>
      <c r="D7" s="13">
        <v>0</v>
      </c>
    </row>
    <row r="8" spans="1:4">
      <c r="A8" s="11" t="s">
        <v>1571</v>
      </c>
      <c r="B8" s="12" t="s">
        <v>1572</v>
      </c>
      <c r="C8" s="13">
        <v>1.5</v>
      </c>
      <c r="D8" s="13">
        <v>1.5</v>
      </c>
    </row>
    <row r="9" spans="1:4">
      <c r="A9" s="11" t="s">
        <v>1573</v>
      </c>
      <c r="B9" s="12" t="s">
        <v>1574</v>
      </c>
      <c r="C9" s="13">
        <v>1</v>
      </c>
      <c r="D9" s="13">
        <v>1</v>
      </c>
    </row>
    <row r="10" spans="1:4">
      <c r="A10" s="11" t="s">
        <v>1575</v>
      </c>
      <c r="B10" s="12" t="s">
        <v>1576</v>
      </c>
      <c r="C10" s="13">
        <v>0.2</v>
      </c>
      <c r="D10" s="13">
        <v>0.2</v>
      </c>
    </row>
    <row r="11" spans="1:4">
      <c r="A11" s="11" t="s">
        <v>1577</v>
      </c>
      <c r="B11" s="12" t="s">
        <v>1578</v>
      </c>
      <c r="C11" s="13">
        <v>0.6</v>
      </c>
      <c r="D11" s="13">
        <v>0.6</v>
      </c>
    </row>
    <row r="12" spans="1:4">
      <c r="A12" s="11" t="s">
        <v>1579</v>
      </c>
      <c r="B12" s="12" t="s">
        <v>1580</v>
      </c>
      <c r="C12" s="13">
        <v>2.5</v>
      </c>
      <c r="D12" s="13">
        <v>2.5</v>
      </c>
    </row>
    <row r="13" spans="1:4">
      <c r="A13" s="11" t="s">
        <v>1581</v>
      </c>
      <c r="B13" s="12" t="s">
        <v>1582</v>
      </c>
      <c r="C13" s="13">
        <v>3</v>
      </c>
      <c r="D13" s="13">
        <v>3</v>
      </c>
    </row>
    <row r="14" spans="1:4">
      <c r="A14" s="11" t="s">
        <v>1583</v>
      </c>
      <c r="B14" s="12" t="s">
        <v>1584</v>
      </c>
      <c r="C14" s="13">
        <v>8</v>
      </c>
      <c r="D14" s="13">
        <v>8</v>
      </c>
    </row>
    <row r="15" spans="1:4">
      <c r="A15" s="11" t="s">
        <v>1585</v>
      </c>
      <c r="B15" s="12" t="s">
        <v>1586</v>
      </c>
      <c r="C15" s="13">
        <v>0</v>
      </c>
      <c r="D15" s="13">
        <v>0</v>
      </c>
    </row>
    <row r="16" spans="1:4">
      <c r="A16" s="7" t="s">
        <v>1587</v>
      </c>
      <c r="B16" s="14" t="s">
        <v>779</v>
      </c>
      <c r="C16" s="15">
        <f>SUM(C7:C15)</f>
        <v>16.8</v>
      </c>
      <c r="D16" s="15">
        <f>SUM(D7:D15)</f>
        <v>16.8</v>
      </c>
    </row>
    <row r="17" spans="1:4">
      <c r="A17" s="10" t="s">
        <v>1588</v>
      </c>
      <c r="B17" s="10"/>
      <c r="C17" s="10"/>
      <c r="D17" s="10"/>
    </row>
    <row r="18" spans="1:4">
      <c r="A18" s="11" t="s">
        <v>1589</v>
      </c>
      <c r="B18" s="12" t="s">
        <v>1590</v>
      </c>
      <c r="C18" s="13">
        <v>18.07</v>
      </c>
      <c r="D18" s="13">
        <v>0</v>
      </c>
    </row>
    <row r="19" spans="1:4">
      <c r="A19" s="11" t="s">
        <v>1591</v>
      </c>
      <c r="B19" s="12" t="s">
        <v>1592</v>
      </c>
      <c r="C19" s="13">
        <v>5.08</v>
      </c>
      <c r="D19" s="13">
        <v>0</v>
      </c>
    </row>
    <row r="20" spans="1:4">
      <c r="A20" s="11" t="s">
        <v>1593</v>
      </c>
      <c r="B20" s="12" t="s">
        <v>1594</v>
      </c>
      <c r="C20" s="13">
        <v>0.92</v>
      </c>
      <c r="D20" s="13">
        <v>0.69</v>
      </c>
    </row>
    <row r="21" spans="1:4">
      <c r="A21" s="11" t="s">
        <v>1595</v>
      </c>
      <c r="B21" s="12" t="s">
        <v>1596</v>
      </c>
      <c r="C21" s="13">
        <v>10.98</v>
      </c>
      <c r="D21" s="13">
        <v>8.33</v>
      </c>
    </row>
    <row r="22" spans="1:4">
      <c r="A22" s="11" t="s">
        <v>1597</v>
      </c>
      <c r="B22" s="12" t="s">
        <v>1598</v>
      </c>
      <c r="C22" s="13">
        <v>0.08</v>
      </c>
      <c r="D22" s="13">
        <v>0.06</v>
      </c>
    </row>
    <row r="23" spans="1:4">
      <c r="A23" s="11" t="s">
        <v>1599</v>
      </c>
      <c r="B23" s="12" t="s">
        <v>1600</v>
      </c>
      <c r="C23" s="13">
        <v>0.73</v>
      </c>
      <c r="D23" s="13">
        <v>0.56</v>
      </c>
    </row>
    <row r="24" spans="1:4">
      <c r="A24" s="11" t="s">
        <v>1601</v>
      </c>
      <c r="B24" s="12" t="s">
        <v>1602</v>
      </c>
      <c r="C24" s="13">
        <v>1.47</v>
      </c>
      <c r="D24" s="13">
        <v>0</v>
      </c>
    </row>
    <row r="25" spans="1:4">
      <c r="A25" s="11" t="s">
        <v>1603</v>
      </c>
      <c r="B25" s="12" t="s">
        <v>1604</v>
      </c>
      <c r="C25" s="13">
        <v>0.12</v>
      </c>
      <c r="D25" s="13">
        <v>0.09</v>
      </c>
    </row>
    <row r="26" spans="1:4">
      <c r="A26" s="11" t="s">
        <v>1605</v>
      </c>
      <c r="B26" s="12" t="s">
        <v>1606</v>
      </c>
      <c r="C26" s="13">
        <v>9.65</v>
      </c>
      <c r="D26" s="13">
        <v>7.32</v>
      </c>
    </row>
    <row r="27" spans="1:4">
      <c r="A27" s="11" t="s">
        <v>1607</v>
      </c>
      <c r="B27" s="12" t="s">
        <v>1608</v>
      </c>
      <c r="C27" s="13">
        <v>0.03</v>
      </c>
      <c r="D27" s="13">
        <v>0.02</v>
      </c>
    </row>
    <row r="28" spans="1:4">
      <c r="A28" s="7" t="s">
        <v>1609</v>
      </c>
      <c r="B28" s="14" t="s">
        <v>779</v>
      </c>
      <c r="C28" s="15">
        <f>SUM(C18:C27)</f>
        <v>47.13</v>
      </c>
      <c r="D28" s="15">
        <f>SUM(D18:D27)</f>
        <v>17.07</v>
      </c>
    </row>
    <row r="29" spans="1:4">
      <c r="A29" s="10" t="s">
        <v>1610</v>
      </c>
      <c r="B29" s="10"/>
      <c r="C29" s="10"/>
      <c r="D29" s="10"/>
    </row>
    <row r="30" spans="1:4">
      <c r="A30" s="11" t="s">
        <v>1611</v>
      </c>
      <c r="B30" s="12" t="s">
        <v>1612</v>
      </c>
      <c r="C30" s="13">
        <v>5.68</v>
      </c>
      <c r="D30" s="13">
        <v>4.31</v>
      </c>
    </row>
    <row r="31" spans="1:4">
      <c r="A31" s="11" t="s">
        <v>1613</v>
      </c>
      <c r="B31" s="12" t="s">
        <v>1614</v>
      </c>
      <c r="C31" s="13">
        <v>0.13</v>
      </c>
      <c r="D31" s="13">
        <v>0.1</v>
      </c>
    </row>
    <row r="32" spans="1:4">
      <c r="A32" s="11" t="s">
        <v>1615</v>
      </c>
      <c r="B32" s="12" t="s">
        <v>1616</v>
      </c>
      <c r="C32" s="13">
        <v>3.83</v>
      </c>
      <c r="D32" s="13">
        <v>2.9</v>
      </c>
    </row>
    <row r="33" spans="1:4">
      <c r="A33" s="11" t="s">
        <v>1617</v>
      </c>
      <c r="B33" s="12" t="s">
        <v>1618</v>
      </c>
      <c r="C33" s="13">
        <v>4.71</v>
      </c>
      <c r="D33" s="13">
        <v>3.57</v>
      </c>
    </row>
    <row r="34" spans="1:4">
      <c r="A34" s="11" t="s">
        <v>1619</v>
      </c>
      <c r="B34" s="12" t="s">
        <v>1620</v>
      </c>
      <c r="C34" s="13">
        <v>0.48</v>
      </c>
      <c r="D34" s="13">
        <v>0.36</v>
      </c>
    </row>
    <row r="35" spans="1:4">
      <c r="A35" s="7" t="s">
        <v>1621</v>
      </c>
      <c r="B35" s="16" t="s">
        <v>779</v>
      </c>
      <c r="C35" s="15">
        <f>SUM(C30:C34)</f>
        <v>14.83</v>
      </c>
      <c r="D35" s="15">
        <f>SUM(D30:D34)</f>
        <v>11.24</v>
      </c>
    </row>
    <row r="36" spans="1:4">
      <c r="A36" s="10" t="s">
        <v>1622</v>
      </c>
      <c r="B36" s="10"/>
      <c r="C36" s="10"/>
      <c r="D36" s="10"/>
    </row>
    <row r="37" ht="31.5" spans="1:4">
      <c r="A37" s="11" t="s">
        <v>1623</v>
      </c>
      <c r="B37" s="12" t="s">
        <v>1624</v>
      </c>
      <c r="C37" s="13">
        <v>7.92</v>
      </c>
      <c r="D37" s="13">
        <v>2.87</v>
      </c>
    </row>
    <row r="38" ht="47.25" spans="1:4">
      <c r="A38" s="11" t="s">
        <v>1625</v>
      </c>
      <c r="B38" s="12" t="s">
        <v>1626</v>
      </c>
      <c r="C38" s="13">
        <v>0.48</v>
      </c>
      <c r="D38" s="13">
        <v>0.36</v>
      </c>
    </row>
    <row r="39" spans="1:4">
      <c r="A39" s="7" t="s">
        <v>1627</v>
      </c>
      <c r="B39" s="14" t="s">
        <v>779</v>
      </c>
      <c r="C39" s="15">
        <f>SUM(C37:C38)</f>
        <v>8.4</v>
      </c>
      <c r="D39" s="15">
        <f>SUM(D37:D38)</f>
        <v>3.23</v>
      </c>
    </row>
    <row r="40" spans="1:4">
      <c r="A40" s="17" t="s">
        <v>1628</v>
      </c>
      <c r="B40" s="17"/>
      <c r="C40" s="15">
        <f>C39+C35+C28+C16</f>
        <v>87.16</v>
      </c>
      <c r="D40" s="15">
        <f>D39+D35+D28+D16</f>
        <v>48.34</v>
      </c>
    </row>
    <row r="42" ht="15" customHeight="1" spans="1:4">
      <c r="A42" s="18" t="s">
        <v>1629</v>
      </c>
      <c r="B42" s="18"/>
      <c r="C42" s="18"/>
      <c r="D42" s="18"/>
    </row>
    <row r="43" ht="15" spans="1:4">
      <c r="A43" s="18"/>
      <c r="B43" s="18"/>
      <c r="C43" s="18"/>
      <c r="D43" s="18"/>
    </row>
    <row r="44" ht="15" spans="1:4">
      <c r="A44" s="18"/>
      <c r="B44" s="18"/>
      <c r="C44" s="18"/>
      <c r="D44" s="18"/>
    </row>
  </sheetData>
  <mergeCells count="10">
    <mergeCell ref="A1:D1"/>
    <mergeCell ref="A2:D2"/>
    <mergeCell ref="A3:D3"/>
    <mergeCell ref="A4:D4"/>
    <mergeCell ref="A6:D6"/>
    <mergeCell ref="A17:D17"/>
    <mergeCell ref="A29:D29"/>
    <mergeCell ref="A36:D36"/>
    <mergeCell ref="A40:B40"/>
    <mergeCell ref="A42:D44"/>
  </mergeCells>
  <pageMargins left="0.511805555555556" right="0.511805555555556" top="1.82777777777778" bottom="0.786805555555556" header="0.313888888888889" footer="0.313888888888889"/>
  <pageSetup paperSize="9" scale="64" orientation="portrait"/>
  <headerFooter>
    <oddHeader>&amp;C
&amp;G
DEFENSORIA PÚBLICA DO ESTADO DE RORAIMA
“Amazônia: Patrimônio dos brasileiros”
____________________________________________________________________________________________________</oddHead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Instituto Federal de Roraima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PB III - Orçamento Sintetico</vt:lpstr>
      <vt:lpstr>PB IV - Cronograma</vt:lpstr>
      <vt:lpstr>PB VIII - Composições Auxilia</vt:lpstr>
      <vt:lpstr>PB VI - Memorial</vt:lpstr>
      <vt:lpstr>PB V - CURVA ABC</vt:lpstr>
      <vt:lpstr>PB VII - Cotação</vt:lpstr>
      <vt:lpstr>PB IX - BDI</vt:lpstr>
      <vt:lpstr>PB IX - BDI dif.</vt:lpstr>
      <vt:lpstr>PB IX - Enc. Sociais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da Silva Santos</dc:creator>
  <cp:lastModifiedBy>Vinicius Diniz</cp:lastModifiedBy>
  <dcterms:created xsi:type="dcterms:W3CDTF">2014-08-05T13:44:00Z</dcterms:created>
  <cp:lastPrinted>2017-09-05T14:25:00Z</cp:lastPrinted>
  <dcterms:modified xsi:type="dcterms:W3CDTF">2017-10-16T20:03:02Z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1033-10.2.0.5934</vt:lpwstr>
  </property>
</Properties>
</file>