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EstaPastaDeTrabalho"/>
  <bookViews>
    <workbookView windowWidth="19890" windowHeight="8370" tabRatio="857"/>
  </bookViews>
  <sheets>
    <sheet name="PB III - Orçamento Sintetico" sheetId="1" r:id="rId1"/>
    <sheet name="PB IV - Cronograma" sheetId="5" r:id="rId2"/>
    <sheet name="PB V - Curva ABC" sheetId="16" r:id="rId3"/>
    <sheet name="PB VI - Memorial" sheetId="7" r:id="rId4"/>
    <sheet name="PB VIII - Composições Auxilia" sheetId="3" r:id="rId5"/>
    <sheet name="PB VII - Cotação" sheetId="10" r:id="rId6"/>
    <sheet name="PB IX - BDI" sheetId="9" r:id="rId7"/>
    <sheet name="PB IX - BDI dif." sheetId="12" r:id="rId8"/>
    <sheet name="PB IX - Enc. Sociais" sheetId="11" r:id="rId9"/>
  </sheets>
  <definedNames>
    <definedName name="_xlnm._FilterDatabase" localSheetId="2" hidden="1">'PB V - Curva ABC'!$A$7:$F$420</definedName>
    <definedName name="_xlnm.Print_Area" localSheetId="0">'PB III - Orçamento Sintetico'!$A$2:$G$435</definedName>
    <definedName name="_xlnm.Print_Area" localSheetId="1">'PB IV - Cronograma'!$A$1:$J$89</definedName>
    <definedName name="_xlnm.Print_Area" localSheetId="6">'PB IX - BDI'!$A$1:$I$53</definedName>
    <definedName name="_xlnm.Print_Area" localSheetId="7">'PB IX - BDI dif.'!$A$1:$I$52</definedName>
    <definedName name="_xlnm.Print_Area" localSheetId="8">'PB IX - Enc. Sociais'!$A$1:$D$44</definedName>
    <definedName name="_xlnm.Print_Area" localSheetId="2">'PB V - Curva ABC'!$A$1:$I$234</definedName>
    <definedName name="_xlnm.Print_Area" localSheetId="3">'PB VI - Memorial'!$A$1:$G$696</definedName>
    <definedName name="_xlnm.Print_Area" localSheetId="4">'PB VIII - Composições Auxilia'!$A$1:$F$379</definedName>
    <definedName name="_xlnm.Print_Titles" localSheetId="0">'PB III - Orçamento Sintetico'!$2:$9</definedName>
    <definedName name="_xlnm.Print_Titles" localSheetId="1">'PB IV - Cronograma'!$1:$4</definedName>
    <definedName name="_xlnm.Print_Titles" localSheetId="3">'PB VI - Memorial'!$1:$4</definedName>
    <definedName name="_xlnm.Print_Titles" localSheetId="4">'PB VIII - Composições Auxilia'!$1:$6</definedName>
  </definedNames>
  <calcPr calcId="144525"/>
</workbook>
</file>

<file path=xl/sharedStrings.xml><?xml version="1.0" encoding="utf-8"?>
<sst xmlns="http://schemas.openxmlformats.org/spreadsheetml/2006/main" count="1590">
  <si>
    <t>ANEXO PB III - PLANILHA DE ORÇAMENTO SINTÉTICO</t>
  </si>
  <si>
    <t>OBRA: CONSTRUÇÃO DA SEDE DA DEFENSORIA PÚBLICA DO ESTADO DE RORAIMA NO MUNICIPIO DO BONFIM - DPE/RR</t>
  </si>
  <si>
    <t>BASE: SINAPI RR JUNHO/2017 DESONERADO</t>
  </si>
  <si>
    <t xml:space="preserve">Prazo = 210 Dias </t>
  </si>
  <si>
    <t>CÓDIGO</t>
  </si>
  <si>
    <t>ITEM</t>
  </si>
  <si>
    <t>DESCRIMINAÇÃO DOS SERVIÇOS</t>
  </si>
  <si>
    <t>UND.</t>
  </si>
  <si>
    <t>QUANT.</t>
  </si>
  <si>
    <t>P.UNIT.</t>
  </si>
  <si>
    <t>P.TOTAL</t>
  </si>
  <si>
    <t>SERVIÇOS PRELIMINARES</t>
  </si>
  <si>
    <t>I</t>
  </si>
  <si>
    <t>ITENS INICIAIS</t>
  </si>
  <si>
    <t>73859/001</t>
  </si>
  <si>
    <t>1.1</t>
  </si>
  <si>
    <t>Limpeza do Terreno (Mecanizada)</t>
  </si>
  <si>
    <t>m2</t>
  </si>
  <si>
    <t>1.2</t>
  </si>
  <si>
    <t>Remoção de Árvores</t>
  </si>
  <si>
    <t>und</t>
  </si>
  <si>
    <t>1.3</t>
  </si>
  <si>
    <t>Aterro</t>
  </si>
  <si>
    <t>m3</t>
  </si>
  <si>
    <t>1.4</t>
  </si>
  <si>
    <t xml:space="preserve">Espalhamento e Compactação de aterro </t>
  </si>
  <si>
    <t>74077/002</t>
  </si>
  <si>
    <t>1.5</t>
  </si>
  <si>
    <t xml:space="preserve">Serviços de Locação da obra </t>
  </si>
  <si>
    <t>1.6</t>
  </si>
  <si>
    <t>Brita sobre aterro</t>
  </si>
  <si>
    <t>II</t>
  </si>
  <si>
    <t>CANTEIRO DE OBRA</t>
  </si>
  <si>
    <t>74209/001</t>
  </si>
  <si>
    <t>1.7</t>
  </si>
  <si>
    <t>Placa de obra em chapa de aço galvanizado, padrão repassado Defensoria Publica de Roraima e conforme especificações técnicas.</t>
  </si>
  <si>
    <t>1.8</t>
  </si>
  <si>
    <t>Banheiro Provisorio</t>
  </si>
  <si>
    <t>93207</t>
  </si>
  <si>
    <t>1.9</t>
  </si>
  <si>
    <t>Escritorio Provisorio</t>
  </si>
  <si>
    <t>1.10</t>
  </si>
  <si>
    <t>Refeitorio Provisorio</t>
  </si>
  <si>
    <t>1.11</t>
  </si>
  <si>
    <t xml:space="preserve">Almoxarifado (m²)      </t>
  </si>
  <si>
    <t>1.12</t>
  </si>
  <si>
    <t xml:space="preserve">Galpão para Carpintaria </t>
  </si>
  <si>
    <t>1.13</t>
  </si>
  <si>
    <t xml:space="preserve">Galpão para Armação de Ferros </t>
  </si>
  <si>
    <t>1.14</t>
  </si>
  <si>
    <t>Ligação Provisoria de Água</t>
  </si>
  <si>
    <t>1.15</t>
  </si>
  <si>
    <t>Ligação Provisoria de Energia</t>
  </si>
  <si>
    <t>MURO</t>
  </si>
  <si>
    <t>ESCAVAÇAO</t>
  </si>
  <si>
    <t>2.1</t>
  </si>
  <si>
    <t>Escavação manual em campo aberto</t>
  </si>
  <si>
    <t>2.2</t>
  </si>
  <si>
    <t>Reaterro manual, com compactação em camadas de 20cm</t>
  </si>
  <si>
    <t>INFRAESTRUTURA</t>
  </si>
  <si>
    <t>2.3</t>
  </si>
  <si>
    <t>Alicerce em concreto ciclópico FCK 10MPa com 30% pedra de mão, incluindo transporte e lançamento</t>
  </si>
  <si>
    <t>2.4</t>
  </si>
  <si>
    <t>Concreto FCK 20MPa p/ BALDRAME 20x20cm</t>
  </si>
  <si>
    <t>92873</t>
  </si>
  <si>
    <t>2.5</t>
  </si>
  <si>
    <t>Lançamento e adensamento concreto</t>
  </si>
  <si>
    <t>2.6</t>
  </si>
  <si>
    <t>Aço CA-50 8mm p/ viga baldrame - corte, dobra e colocação</t>
  </si>
  <si>
    <t>kg</t>
  </si>
  <si>
    <t>2.7</t>
  </si>
  <si>
    <t>Aço CA-60 5mm p/ viga baldrame - corte, dobra e colocação</t>
  </si>
  <si>
    <t>2.8</t>
  </si>
  <si>
    <t>Forma tábua p/ viga baldrame c/ reaproveitamento 5x - incluso montagem e desmontagem</t>
  </si>
  <si>
    <t>III</t>
  </si>
  <si>
    <t>PILARES 20X20CM P/ MURO</t>
  </si>
  <si>
    <t>2.9</t>
  </si>
  <si>
    <t>Concreto FCK 20MPa p/ pilares 20x20cm</t>
  </si>
  <si>
    <t>2.10</t>
  </si>
  <si>
    <t>2.11</t>
  </si>
  <si>
    <t>Aço CA-50 10mm - corte, dobra e colocação - Pilares</t>
  </si>
  <si>
    <t>2.12</t>
  </si>
  <si>
    <t>Aço CA-60 5mm - corte, dobra e colocação - Pilares</t>
  </si>
  <si>
    <t>2.13</t>
  </si>
  <si>
    <t>Forma de tábua para pilares c/ 8 utilizações, incluindo serviços de escoramento, montagem e desmontagem</t>
  </si>
  <si>
    <t>IV</t>
  </si>
  <si>
    <t>REVESTIMENTO</t>
  </si>
  <si>
    <t>2.14</t>
  </si>
  <si>
    <t>Alvenaria de 1/2 vez p/ muro 2,20m e mureta 0,50m - bloco cerâmico 9x14x19cm, assentado em argamassa 1:3, com preparo em betoneira</t>
  </si>
  <si>
    <t>2.15</t>
  </si>
  <si>
    <t>Chapisco em alvenaria, vigas e pilares, traço 1:3, espessura 0,5 cm, com preparo em betoneira</t>
  </si>
  <si>
    <t>2.16</t>
  </si>
  <si>
    <t>Reboco tipo paulista(massa única), para recebimento de pintura, traço 1:2:8 (cimento/cal/areia) em alvenaria, vigas e pilares, espessura=1 cm, preparo em betoneira (ACESSO ÀS RUAS)</t>
  </si>
  <si>
    <t>2.17</t>
  </si>
  <si>
    <t>Pingadeira em concreto pré-moldado espessura 3cm, largura 25cm. Incluso material e assentamento</t>
  </si>
  <si>
    <t>m</t>
  </si>
  <si>
    <t>2.18</t>
  </si>
  <si>
    <t>Gradil em Aluminio Adonizado Tipo Barra Chata, com tratamento anticorriso.</t>
  </si>
  <si>
    <t>V</t>
  </si>
  <si>
    <t>PINTURA</t>
  </si>
  <si>
    <t>88485</t>
  </si>
  <si>
    <t>2.19</t>
  </si>
  <si>
    <t xml:space="preserve">Aplicação de Fundo selador acrílico em paredes, uma demão </t>
  </si>
  <si>
    <t>88489</t>
  </si>
  <si>
    <t>2.20</t>
  </si>
  <si>
    <t>Aplicação manual de pintura com tinta acrílica em paredes, duas demãos (COR APROVADA pela fiscalização)</t>
  </si>
  <si>
    <t>MOVIMENTO DE TERRA</t>
  </si>
  <si>
    <t>3.1</t>
  </si>
  <si>
    <t>Escavação manual para execução de SAPATAS EM CONCRETO ARMADO</t>
  </si>
  <si>
    <t>3.2</t>
  </si>
  <si>
    <t>Reaterro manual com apiloamento mecânico</t>
  </si>
  <si>
    <t>4</t>
  </si>
  <si>
    <t>INFRA E SUPERESTRUTURA</t>
  </si>
  <si>
    <t>Sapatas em concreto armado, fck 25MPa, incluindo arranques de pilares</t>
  </si>
  <si>
    <t>94965</t>
  </si>
  <si>
    <t>4.1</t>
  </si>
  <si>
    <t xml:space="preserve">Concreto fck 25MPa </t>
  </si>
  <si>
    <t>4.2</t>
  </si>
  <si>
    <t>Lançamento / Adensamento e Acabamento</t>
  </si>
  <si>
    <t>5651</t>
  </si>
  <si>
    <t>4.3</t>
  </si>
  <si>
    <t>Forma para fundação</t>
  </si>
  <si>
    <t>4.4</t>
  </si>
  <si>
    <t>Aço CA50A – 6,3</t>
  </si>
  <si>
    <t>92917</t>
  </si>
  <si>
    <t>4.5</t>
  </si>
  <si>
    <t>Aço CA50A – 8,0</t>
  </si>
  <si>
    <t>92919</t>
  </si>
  <si>
    <t>4.6</t>
  </si>
  <si>
    <t>Aço CA50A – 10,0</t>
  </si>
  <si>
    <t>92921</t>
  </si>
  <si>
    <t>4.7</t>
  </si>
  <si>
    <t>Aço CA50A – 12,5</t>
  </si>
  <si>
    <t>92915</t>
  </si>
  <si>
    <t>4.8</t>
  </si>
  <si>
    <t>Aço CA60A</t>
  </si>
  <si>
    <t>95241</t>
  </si>
  <si>
    <t>4.9</t>
  </si>
  <si>
    <t>Lastro de Concreto, E=5cm preparo mecânico, incluso lançamento e adensamento</t>
  </si>
  <si>
    <t>Vigas baldrame em concreto armado fck 25MPa , conforme se segue:</t>
  </si>
  <si>
    <t>4.10</t>
  </si>
  <si>
    <t>Concreto fck 25MPa</t>
  </si>
  <si>
    <t>4.11</t>
  </si>
  <si>
    <t>4.12</t>
  </si>
  <si>
    <t>Fabricação de forma</t>
  </si>
  <si>
    <t>92776</t>
  </si>
  <si>
    <t>4.13</t>
  </si>
  <si>
    <t>Aço CA50A  - 6,3</t>
  </si>
  <si>
    <t>92777</t>
  </si>
  <si>
    <t>4.14</t>
  </si>
  <si>
    <t>Aço CA50A  - 8,0</t>
  </si>
  <si>
    <t>92778</t>
  </si>
  <si>
    <t>4.15</t>
  </si>
  <si>
    <t>Aço CA50A  - 10,0</t>
  </si>
  <si>
    <t>92779</t>
  </si>
  <si>
    <t>4.16</t>
  </si>
  <si>
    <t>Aço CA50A  - 12,5</t>
  </si>
  <si>
    <t>92780</t>
  </si>
  <si>
    <t>4.17</t>
  </si>
  <si>
    <t>Aço CA50A  - 16,0</t>
  </si>
  <si>
    <t>92775</t>
  </si>
  <si>
    <t>4.18</t>
  </si>
  <si>
    <t>Aço CA60A – 5,0</t>
  </si>
  <si>
    <t>74106/001</t>
  </si>
  <si>
    <t>4.19</t>
  </si>
  <si>
    <t>Impermeabilização de estruturas enterradas, com tinta asfáltica duas demãos</t>
  </si>
  <si>
    <t>SUPERESTRUTURA</t>
  </si>
  <si>
    <t>Pilares em concreto armado, fck 25MPa , sendo:</t>
  </si>
  <si>
    <t>4.20</t>
  </si>
  <si>
    <t>4.21</t>
  </si>
  <si>
    <t>92427</t>
  </si>
  <si>
    <t>4.22</t>
  </si>
  <si>
    <t>Montagem de forma</t>
  </si>
  <si>
    <t>4.23</t>
  </si>
  <si>
    <t>Aço CA50A – 10</t>
  </si>
  <si>
    <t>4.24</t>
  </si>
  <si>
    <t>4.25</t>
  </si>
  <si>
    <t>Vigas em concreto armado fck 25MPa , conforme se segue:</t>
  </si>
  <si>
    <t>4.26</t>
  </si>
  <si>
    <t>4.27</t>
  </si>
  <si>
    <t>92448</t>
  </si>
  <si>
    <t>4.28</t>
  </si>
  <si>
    <t>4.29</t>
  </si>
  <si>
    <t>4.30</t>
  </si>
  <si>
    <t>4.31</t>
  </si>
  <si>
    <t>4.32</t>
  </si>
  <si>
    <t>4.33</t>
  </si>
  <si>
    <t>Aço CA50A – 16,0</t>
  </si>
  <si>
    <t>4.34</t>
  </si>
  <si>
    <t>Lajes Cobertura</t>
  </si>
  <si>
    <t>4.35</t>
  </si>
  <si>
    <t>4.36</t>
  </si>
  <si>
    <t>92521</t>
  </si>
  <si>
    <t>4.37</t>
  </si>
  <si>
    <t>92785</t>
  </si>
  <si>
    <t>4.38</t>
  </si>
  <si>
    <t>92786</t>
  </si>
  <si>
    <t>4.39</t>
  </si>
  <si>
    <t>92787</t>
  </si>
  <si>
    <t>4.40</t>
  </si>
  <si>
    <t>92788</t>
  </si>
  <si>
    <t>4.41</t>
  </si>
  <si>
    <t>92784</t>
  </si>
  <si>
    <t>4.42</t>
  </si>
  <si>
    <t>VI</t>
  </si>
  <si>
    <t>Pilar do Reservatorio</t>
  </si>
  <si>
    <t>4.43</t>
  </si>
  <si>
    <t>4.44</t>
  </si>
  <si>
    <t>92422</t>
  </si>
  <si>
    <t>4.45</t>
  </si>
  <si>
    <t>4.46</t>
  </si>
  <si>
    <t>Aço CA50A -10,0</t>
  </si>
  <si>
    <t>4.47</t>
  </si>
  <si>
    <t>VII</t>
  </si>
  <si>
    <t>Vigas Reservatorio</t>
  </si>
  <si>
    <t>4.48</t>
  </si>
  <si>
    <t>4.49</t>
  </si>
  <si>
    <t>4.50</t>
  </si>
  <si>
    <t>4.51</t>
  </si>
  <si>
    <t>4.52</t>
  </si>
  <si>
    <t>4.53</t>
  </si>
  <si>
    <t>VIII</t>
  </si>
  <si>
    <t>Lajes da Reservatorio, incluindo impermeabilização:</t>
  </si>
  <si>
    <t>4.54</t>
  </si>
  <si>
    <t>4.55</t>
  </si>
  <si>
    <t>4.56</t>
  </si>
  <si>
    <t>4.57</t>
  </si>
  <si>
    <t>4.58</t>
  </si>
  <si>
    <t>83737</t>
  </si>
  <si>
    <t>4.59</t>
  </si>
  <si>
    <t>Impermeabilização de Superficie com Manta Asfaltica (Com Polimeros Tipo App), E=3mm</t>
  </si>
  <si>
    <t>PAVIMENTAÇÕES</t>
  </si>
  <si>
    <t>006081</t>
  </si>
  <si>
    <t>5.1</t>
  </si>
  <si>
    <t>Material para aterro</t>
  </si>
  <si>
    <t>5.2</t>
  </si>
  <si>
    <t>Espalhamento e Compactação de Aterro</t>
  </si>
  <si>
    <t>83534</t>
  </si>
  <si>
    <t>5.3</t>
  </si>
  <si>
    <r>
      <rPr>
        <sz val="8"/>
        <color rgb="FF000000"/>
        <rFont val="Times New Roman"/>
        <charset val="134"/>
      </rPr>
      <t xml:space="preserve">Lastro em concreto simples , 1:3:5 , </t>
    </r>
    <r>
      <rPr>
        <b/>
        <sz val="11"/>
        <color theme="1"/>
        <rFont val="Calibri"/>
        <charset val="134"/>
      </rPr>
      <t>com adição de impermeabilizante</t>
    </r>
    <r>
      <rPr>
        <sz val="11"/>
        <color theme="1"/>
        <rFont val="宋体"/>
        <charset val="134"/>
      </rPr>
      <t>, espessura de 8cm – para a ser ampliada</t>
    </r>
  </si>
  <si>
    <t>94439</t>
  </si>
  <si>
    <t>5.4</t>
  </si>
  <si>
    <t>CONTRAPISO EM ARGAMASSA TRACO 1:4 (CIMENTO E AREIA), INTERNO – parte existente e a ampliar</t>
  </si>
  <si>
    <t>87261</t>
  </si>
  <si>
    <t>5.5</t>
  </si>
  <si>
    <t>Porcelanato 60X60cm , assentamento e rejuntamento área MENOR que 5m²</t>
  </si>
  <si>
    <t>87262</t>
  </si>
  <si>
    <t>5.6</t>
  </si>
  <si>
    <t>Porcelanato 60X60cm , assentamento e rejuntamento área ENTRE 5m² e 10m²</t>
  </si>
  <si>
    <t>87263</t>
  </si>
  <si>
    <t>5.7</t>
  </si>
  <si>
    <t>Porcelanato 60X60cm , assentamento e rejuntamento área MAIOR que 10m²</t>
  </si>
  <si>
    <t>Piso Auditorio nivel maior</t>
  </si>
  <si>
    <t>5.8</t>
  </si>
  <si>
    <t>5.9</t>
  </si>
  <si>
    <t>5.10</t>
  </si>
  <si>
    <r>
      <rPr>
        <sz val="8"/>
        <color theme="1"/>
        <rFont val="Calibri"/>
        <charset val="134"/>
      </rPr>
      <t xml:space="preserve">Lastro em concreto simples , 1:3:5 , </t>
    </r>
    <r>
      <rPr>
        <b/>
        <sz val="11"/>
        <color theme="1"/>
        <rFont val="Calibri"/>
        <charset val="134"/>
      </rPr>
      <t>com adição de impermeabilizante</t>
    </r>
    <r>
      <rPr>
        <sz val="11"/>
        <color theme="1"/>
        <rFont val="Calibri"/>
        <charset val="134"/>
      </rPr>
      <t>, espessura de 10cm – para a ser ampliada</t>
    </r>
  </si>
  <si>
    <t>5.11</t>
  </si>
  <si>
    <t>5.12</t>
  </si>
  <si>
    <t>Piso cerâmico 60X60cm , assentamento e rejuntamento área ENTRE 5m² e 10m²</t>
  </si>
  <si>
    <t>ALVENARIA/DIVISORIA</t>
  </si>
  <si>
    <t>6.1</t>
  </si>
  <si>
    <t>Alvenaria de vedação de blocos cerâmicos furados 9x14x19cm, espessura 14cm, assentado com argamassa de cimento e areia, preparo mecânico em betoneira</t>
  </si>
  <si>
    <t>6.2</t>
  </si>
  <si>
    <t>Divisoria de granito Banheiro</t>
  </si>
  <si>
    <t>6.3</t>
  </si>
  <si>
    <t>Encunhamento</t>
  </si>
  <si>
    <t>REVESTIMENTOS</t>
  </si>
  <si>
    <t>7.1</t>
  </si>
  <si>
    <t>Chapisco aplicado em alvenarias, argamassa traço 1:3 (cimento e areia)</t>
  </si>
  <si>
    <t>7.2</t>
  </si>
  <si>
    <t>Reboco/massa única em alvenaria, vigas e pilares, espessura 20mm, aplicação manual com execução de taliscas, com uso de argamassa cimento, areia e aditivo plastificante</t>
  </si>
  <si>
    <t>7.3</t>
  </si>
  <si>
    <t>Pastilha Banheiro e Cozinha - Cor a Definir com a Fiscalização</t>
  </si>
  <si>
    <t>7.4</t>
  </si>
  <si>
    <t>Revestimento em parede até 1,00m - paredes externas</t>
  </si>
  <si>
    <t>PINTURAS</t>
  </si>
  <si>
    <t>8.1</t>
  </si>
  <si>
    <t>8.2</t>
  </si>
  <si>
    <t>Aplicação e lixamento de massa látex em paredes, duas demãos.</t>
  </si>
  <si>
    <t>8.3</t>
  </si>
  <si>
    <t>ESQUADRIAS / VERGA / CONTRAVERGA / FECHADURA</t>
  </si>
  <si>
    <t>PORTAS</t>
  </si>
  <si>
    <t>9.1</t>
  </si>
  <si>
    <t>Tipo P 01  - 0,80x2,10m -tipo abrir ,em madeira revestida em laminado melamínico, com ferragens e fechadura</t>
  </si>
  <si>
    <t>9.2</t>
  </si>
  <si>
    <t>Tipo P 02  - 0,90x2,10m -tipo abrir ,em madeira revestida em laminado melamínico, com ferragens e fechadura</t>
  </si>
  <si>
    <t>9.3</t>
  </si>
  <si>
    <t>Tipo P 03  - 1,60x2,10m -tipo abrir ,em madeira revestida em laminado melamínico, com ferragens e fechadura</t>
  </si>
  <si>
    <t>COMP. 03 - DPE</t>
  </si>
  <si>
    <t>9.4</t>
  </si>
  <si>
    <t>Tipo P 05 - Porta de Vidro entrada principal</t>
  </si>
  <si>
    <t>91341</t>
  </si>
  <si>
    <t>9.5</t>
  </si>
  <si>
    <t>Tipo P 04 - Porta Aluminio Banheiro Masculino e Feminino</t>
  </si>
  <si>
    <t>73933/003</t>
  </si>
  <si>
    <t>9.6</t>
  </si>
  <si>
    <t>Tipo P 06 - Porta de Ferro tipo Veneziana</t>
  </si>
  <si>
    <t>93188</t>
  </si>
  <si>
    <t>9.7</t>
  </si>
  <si>
    <t>Verga moldada in loco em concreto para portas com até 1,5m de vão</t>
  </si>
  <si>
    <t>93189</t>
  </si>
  <si>
    <t>9.8</t>
  </si>
  <si>
    <t>Verga moldada in loco em concreto para portas maior que 1,5m de vão</t>
  </si>
  <si>
    <t>JANELAS</t>
  </si>
  <si>
    <t>9.9</t>
  </si>
  <si>
    <t>Janela J1</t>
  </si>
  <si>
    <t>9.10</t>
  </si>
  <si>
    <t>Janela J2</t>
  </si>
  <si>
    <t>9.11</t>
  </si>
  <si>
    <t>Janela J3</t>
  </si>
  <si>
    <t>9.12</t>
  </si>
  <si>
    <t>Verga moldada in loco em concreto para janelas com até 1,5m de vão</t>
  </si>
  <si>
    <t>9.13</t>
  </si>
  <si>
    <t>Verga moldada in loco em concreto para janelas maior que 1,5m de vão</t>
  </si>
  <si>
    <t>9.14</t>
  </si>
  <si>
    <t>Contraverga moldada in loco em concreto para janelas com até 1,5m de vão</t>
  </si>
  <si>
    <t>9.15</t>
  </si>
  <si>
    <t>Contraverga moldada in loco em concreto para janelas maior que 1,5m de vão</t>
  </si>
  <si>
    <t>73932/001</t>
  </si>
  <si>
    <t>9.16</t>
  </si>
  <si>
    <t>Grade Janelas e Porta com pintura aprovada pela fiscalização</t>
  </si>
  <si>
    <t>10</t>
  </si>
  <si>
    <t>SOLEIRAS, PEITORIS e RODAPÉS</t>
  </si>
  <si>
    <t>84161</t>
  </si>
  <si>
    <t>10.1</t>
  </si>
  <si>
    <t>Soleira de granito espessura 2,5cm , larg. de 14cm</t>
  </si>
  <si>
    <t>84088</t>
  </si>
  <si>
    <t>10.2</t>
  </si>
  <si>
    <t>Peitoril de granito , espessura 2,50cm ,  larg.  18cm, em todas as janelas</t>
  </si>
  <si>
    <t>88649</t>
  </si>
  <si>
    <t>10.3</t>
  </si>
  <si>
    <t>Rodapé de cerâmica, altura de 7,0cm</t>
  </si>
  <si>
    <t>FORRO</t>
  </si>
  <si>
    <t>11.1</t>
  </si>
  <si>
    <t>Forro em modular em pvc 60x120cm, fixação em estrutura indempendente da estrutura da cobertura, caso necessário adotar junta conforme ABNT NBR especifica</t>
  </si>
  <si>
    <t>COBERTURA</t>
  </si>
  <si>
    <t>12.1</t>
  </si>
  <si>
    <t>Estrutura Metalica para telhado em 2 águas para telha metalica</t>
  </si>
  <si>
    <t>12.2</t>
  </si>
  <si>
    <t>Telhamento com telha metalica trazapezoidal</t>
  </si>
  <si>
    <t>74145/001</t>
  </si>
  <si>
    <t>12.3</t>
  </si>
  <si>
    <t>Pintura Esmalte fosco, duas demãos, sobre superficie metalica, incluso um demão de fundo anticorrosivo</t>
  </si>
  <si>
    <t>12.4</t>
  </si>
  <si>
    <t>Rufo de Concreto com 30 centimentos de largura</t>
  </si>
  <si>
    <t>12.5</t>
  </si>
  <si>
    <t>Cumeeira de telha metalica</t>
  </si>
  <si>
    <t>HIDRAULICO</t>
  </si>
  <si>
    <t>Sub-Ramal/Ramal</t>
  </si>
  <si>
    <t>89356</t>
  </si>
  <si>
    <t>13.1</t>
  </si>
  <si>
    <t>Tubo PVC 25mm – tipo soldavel com acessorios</t>
  </si>
  <si>
    <t>89446</t>
  </si>
  <si>
    <t>13.2</t>
  </si>
  <si>
    <t>Tubo PVC 32mm – tipo soldavel com acessorios</t>
  </si>
  <si>
    <t>Prumada</t>
  </si>
  <si>
    <t>13.3</t>
  </si>
  <si>
    <t>13.4</t>
  </si>
  <si>
    <t>Barrilete</t>
  </si>
  <si>
    <t>94650</t>
  </si>
  <si>
    <t>13.5</t>
  </si>
  <si>
    <t>Tubo PVC 40mm – tipo soldavel com acessorios com fixação na laje</t>
  </si>
  <si>
    <t>13.6</t>
  </si>
  <si>
    <t>Caixa D'água em poliestileno, 1000litros, com acessorios</t>
  </si>
  <si>
    <t>13.7</t>
  </si>
  <si>
    <t>Furo em Alvenaria para Diametro menores que 40mm</t>
  </si>
  <si>
    <t>13.8</t>
  </si>
  <si>
    <t>Chumbamento linear em alvenaria</t>
  </si>
  <si>
    <t>Alimentação</t>
  </si>
  <si>
    <t>13.9</t>
  </si>
  <si>
    <t>Kit Cavalete para Medição de Água - Entrada Principal, em PVC, Fornecimento e Instalação</t>
  </si>
  <si>
    <t>13.10</t>
  </si>
  <si>
    <t>Torneira de Boia Real, Roscável, 1/2", Fornecimento e instalação</t>
  </si>
  <si>
    <t>89357</t>
  </si>
  <si>
    <t>13.11</t>
  </si>
  <si>
    <t>73795/003</t>
  </si>
  <si>
    <t>13.12</t>
  </si>
  <si>
    <t>Válvula de retenção 32mm</t>
  </si>
  <si>
    <t>SANITARIO</t>
  </si>
  <si>
    <t>TUBOS</t>
  </si>
  <si>
    <t>89711</t>
  </si>
  <si>
    <t>14.1</t>
  </si>
  <si>
    <t>Tubo PVC esgoto 40mm – Ponta e Bolsa Lisa, inclusive conexões</t>
  </si>
  <si>
    <t>89712</t>
  </si>
  <si>
    <t>14.2</t>
  </si>
  <si>
    <t>Tubo PVC esgoto 50mm – Ponta e Bolsa Lisa, inclusive conexões</t>
  </si>
  <si>
    <t>89713</t>
  </si>
  <si>
    <t>14.3</t>
  </si>
  <si>
    <t>Tubo PVC esgoto 75mm – Ponta e Bolsa Lisa, inclusive conexões</t>
  </si>
  <si>
    <t>89714</t>
  </si>
  <si>
    <t>14.4</t>
  </si>
  <si>
    <t>Tubo PVC esgoto 100mm – Ponta e Bolsa Lisa, inclusive conexões</t>
  </si>
  <si>
    <t xml:space="preserve">CAIXAS SIFONADAS, CAIXAS DE GORDURA e CAIXAS DE  INSPEÇÃO </t>
  </si>
  <si>
    <t>14.5</t>
  </si>
  <si>
    <t>Caixa sifonado c/grelha quadrada</t>
  </si>
  <si>
    <t>74051/002</t>
  </si>
  <si>
    <t>14.6</t>
  </si>
  <si>
    <t>Caixa de gordura</t>
  </si>
  <si>
    <t>74104/001</t>
  </si>
  <si>
    <t>14.7</t>
  </si>
  <si>
    <t>Caixa de inspeção esgoto simples</t>
  </si>
  <si>
    <t>ACESSORIOS</t>
  </si>
  <si>
    <t>10908</t>
  </si>
  <si>
    <t>14.8</t>
  </si>
  <si>
    <t>Junção Simples 100x50mm</t>
  </si>
  <si>
    <t>1967</t>
  </si>
  <si>
    <t>14.9</t>
  </si>
  <si>
    <t>Curva 45º - 40mm</t>
  </si>
  <si>
    <t>10765</t>
  </si>
  <si>
    <t>14.10</t>
  </si>
  <si>
    <t>Curva 45º - 50mm</t>
  </si>
  <si>
    <t>37949</t>
  </si>
  <si>
    <t>14.11</t>
  </si>
  <si>
    <t>Joelho - 40mm</t>
  </si>
  <si>
    <t>03526</t>
  </si>
  <si>
    <t>14.12</t>
  </si>
  <si>
    <t>Joelho - 50mm</t>
  </si>
  <si>
    <t>3520</t>
  </si>
  <si>
    <t>14.13</t>
  </si>
  <si>
    <t>Joelho - 100mm</t>
  </si>
  <si>
    <t>VENTILAÇÃO</t>
  </si>
  <si>
    <t>14.14</t>
  </si>
  <si>
    <t>14.15</t>
  </si>
  <si>
    <t>3526</t>
  </si>
  <si>
    <t>14.16</t>
  </si>
  <si>
    <t>14.17</t>
  </si>
  <si>
    <t>Joelho - 75mm</t>
  </si>
  <si>
    <t>11655</t>
  </si>
  <si>
    <t>14.18</t>
  </si>
  <si>
    <t>Te 100mm - 50mm</t>
  </si>
  <si>
    <t>14.19</t>
  </si>
  <si>
    <t>Te 100mm - 75mm</t>
  </si>
  <si>
    <t>UNIDADE DE TRATAMENTO</t>
  </si>
  <si>
    <t>14.20</t>
  </si>
  <si>
    <t>FOSSA SÉPTICA EM ALVENARIA DE TIJOLO CERÂMICO MACIÇO, DIMENSÕES EXTERNAS DE 1,90X1,10X1,40 M, VOLUME DE 1.500 LITROS, REVESTIDO INTERNAMENTE
COM MASSA ÚNICA E IMPERMEABILIZANTE E COM TAMPA DE CONCRETO ARMADO COM ESPESSURA DE 8 CM</t>
  </si>
  <si>
    <t>74198/001</t>
  </si>
  <si>
    <t>14.21</t>
  </si>
  <si>
    <t>SUMIDOURO EM ALVENARIA DE TIJOLO CERAMICO MACICO DIAMETRO 1,20M E ALTURA 5,00M, COM TAMPA EM CONCRETO ARMADO DIAMETRO 1,40M E ESPESSURA 10CM</t>
  </si>
  <si>
    <t xml:space="preserve"> </t>
  </si>
  <si>
    <t>LOUÇAS E METAIS</t>
  </si>
  <si>
    <t>86932</t>
  </si>
  <si>
    <t>15.1</t>
  </si>
  <si>
    <t xml:space="preserve">Vaso Sanitário Padrão médio, com Caixa Acoplada </t>
  </si>
  <si>
    <t>74234/001</t>
  </si>
  <si>
    <t>15.2</t>
  </si>
  <si>
    <t>Mictorio</t>
  </si>
  <si>
    <t>15.3</t>
  </si>
  <si>
    <t>Lavatorio padrão médio</t>
  </si>
  <si>
    <t>15.4</t>
  </si>
  <si>
    <t>Lavatório para banheiro PNE , de coluna suspensa-completo com torneira em metal , tipo temporizada, para portadores de necessidades especiais, engate flexivel -malha de aço 1/2x40cm , sifão inox  , válvula universal  e 02 barras de apoio – inox diâmetro de 1 ¼” x40cm, inclusive buchas e parafusos de fixação</t>
  </si>
  <si>
    <t>15.5</t>
  </si>
  <si>
    <t>VASO SANITÁRIO com caixa acoplada, para banheiro PNE, completo com 02 barras de apoio, assento plastico, engate flexível malha de aço – 1/2x40cm e parafusos de fixação .</t>
  </si>
  <si>
    <t>15.6</t>
  </si>
  <si>
    <t>Papeleira inox – uma em cada box de vaso sanitário e nos lavatorios</t>
  </si>
  <si>
    <t>15.7</t>
  </si>
  <si>
    <t>Saboneteira para sabão líquido Plastico capac 1000ml  completa - 01 unidade para cada LAVATÓRIO , 01 para cada bancada de 02 cubas e 04 para cada bancada de 05 cubas.</t>
  </si>
  <si>
    <t>15.8</t>
  </si>
  <si>
    <t>Espelho cristal, espessura 4mm, com parafusos de fixação, sem moldura, 50X50cm</t>
  </si>
  <si>
    <t>15.9</t>
  </si>
  <si>
    <t>Bancada de Granito Cinza polido para pia de cozinha 1,5mx0,6m, fornecimento e instalação</t>
  </si>
  <si>
    <t>15.10</t>
  </si>
  <si>
    <t>Torneira Cromada tubo móvel, de mesa, 1/2" ou 3/4", para pia de cozinha, padrão médio</t>
  </si>
  <si>
    <t>DRENAGEM/ÁGUAS PLUVIAIS</t>
  </si>
  <si>
    <t>ÁGUAS PLUVIAIS</t>
  </si>
  <si>
    <t>83671</t>
  </si>
  <si>
    <t>16.1</t>
  </si>
  <si>
    <t>Tubo PVC 100mm – tipo soldavel com acessorios</t>
  </si>
  <si>
    <t>16.2</t>
  </si>
  <si>
    <t>Colchão de areia</t>
  </si>
  <si>
    <t>16.3</t>
  </si>
  <si>
    <t>Alvenaria</t>
  </si>
  <si>
    <t>16.4</t>
  </si>
  <si>
    <t>Chapisco</t>
  </si>
  <si>
    <t>16.5</t>
  </si>
  <si>
    <t xml:space="preserve">CALHA QUADRADA DE CHAPA DE ACO GALVANIZADA NUM 24, CORTE 133 CM </t>
  </si>
  <si>
    <t>16.6</t>
  </si>
  <si>
    <t xml:space="preserve">CALHA QUADRADA DE CHAPA DE ACO GALVANIZADA NUM 24, CORTE 173 CM </t>
  </si>
  <si>
    <t>16.7</t>
  </si>
  <si>
    <t>Ralo abacaxi</t>
  </si>
  <si>
    <t>DRENAGEM AR-CONDICIONADOS</t>
  </si>
  <si>
    <t>16.8</t>
  </si>
  <si>
    <t>Tubo, PVC, Soldavel DN 25mm</t>
  </si>
  <si>
    <t>16.9</t>
  </si>
  <si>
    <t>Furo em Alvenaria para Diametro menores que 40mm tubulação</t>
  </si>
  <si>
    <t>16.10</t>
  </si>
  <si>
    <t>Chumbamento linear em alvenaria menores que 40mm tubulação</t>
  </si>
  <si>
    <t>INCÊNDIO</t>
  </si>
  <si>
    <t>17.1</t>
  </si>
  <si>
    <t>tipo S-3 (130/260MM) – material  PVC- 2mm – fotoluminescente</t>
  </si>
  <si>
    <t>17.2</t>
  </si>
  <si>
    <t>tipo S2-E (130/260MM) – material PVC - 2mm – fotoluminescente</t>
  </si>
  <si>
    <t>17.3</t>
  </si>
  <si>
    <t>tipo S2-D (130/260MM) – material PVC – 2mm – fotoluminescente</t>
  </si>
  <si>
    <t>17.4</t>
  </si>
  <si>
    <t>tipo E-17 (1000/1000MM)- PINTADA NO PISO com tinta epoxi, conforme detalhamento no respectivo projeto</t>
  </si>
  <si>
    <t>37557</t>
  </si>
  <si>
    <t>17.5</t>
  </si>
  <si>
    <t>tipo E-5 ( diâmetro 150MM) – material PVC – 2mm –fotoluminescente</t>
  </si>
  <si>
    <t>83635</t>
  </si>
  <si>
    <t>17.6</t>
  </si>
  <si>
    <t>Extintores tipo Pó ABC (Fabricante ou Distribuidora deve ser credenciado no Corpo de Bombeiro do Estado)</t>
  </si>
  <si>
    <t>17.7</t>
  </si>
  <si>
    <t>Luminaria de Emergencia 60LED</t>
  </si>
  <si>
    <t>ELETRICO</t>
  </si>
  <si>
    <t>PONTOS DE UTILIZAÇÃO</t>
  </si>
  <si>
    <t>18.1</t>
  </si>
  <si>
    <t>Luminária embutir com aletas T8/T10 2x18W LED - fornecimento e instalação.</t>
  </si>
  <si>
    <t>18.2</t>
  </si>
  <si>
    <t>Luminária sobrepor com aletas T8/T10 2x18W LED - fornecimento e instalação.</t>
  </si>
  <si>
    <t>18.3</t>
  </si>
  <si>
    <t>Lâmpada led 10 w bivolt branca, formato tradicional (base e27) - fornecimento e instalação</t>
  </si>
  <si>
    <t>18.4</t>
  </si>
  <si>
    <t>Poste de aço conico contínuo curvo simples, flangeado, com janela de inspeção h=9m , inclusíve luminária,  lâmpada e reator-fornecimento e instalacao.</t>
  </si>
  <si>
    <t>18.5</t>
  </si>
  <si>
    <t>Poste de aço conico contínuo curvo duplo, flangeado, com janela de inspeção h=9m , inclusíve luminárias,  lâmpadas e reatores-fornecimento e instalacao.</t>
  </si>
  <si>
    <t>18.6</t>
  </si>
  <si>
    <t>Relé fotoelétrico p/ comando de iluminação externa 220V/1000W - fornecimento e instalação</t>
  </si>
  <si>
    <t>18.7</t>
  </si>
  <si>
    <t>Tomada alta de embutir (1 módulo), 2P+T 10 A, incluindo suporte e placa - fornecimento e instalação.</t>
  </si>
  <si>
    <t>18.8</t>
  </si>
  <si>
    <t>Tomada alta de embutir (1 módulo), 2P+T 20 A, incluindo suporte e placa - fornecimento e instalação.</t>
  </si>
  <si>
    <t>18.9</t>
  </si>
  <si>
    <t xml:space="preserve">Tomada média de embutir (1 módulo), 2P+T 10 A, incluindo suporte e placa - fornecimento e instalação. </t>
  </si>
  <si>
    <t>18.10</t>
  </si>
  <si>
    <t xml:space="preserve">Tomada média de embutir (1 módulo), 2P+T 20 A, incluindo suporte e placa - fornecimento e instalação. </t>
  </si>
  <si>
    <t>18.11</t>
  </si>
  <si>
    <t xml:space="preserve">Tomada média de embutir (2 módulos), 2P+T 10 A, incluindo suporte e placa - fornecimento e instalação. </t>
  </si>
  <si>
    <t>18.12</t>
  </si>
  <si>
    <t>Interruptor simples (1 módulo), 10A/250V, incluindo suporte e placa - fornecimento e instalação.</t>
  </si>
  <si>
    <t>18.13</t>
  </si>
  <si>
    <t>Interruptor simples (2 módulos), 10A/250V, incluindo suporte e placa - fornecimento e instalação.</t>
  </si>
  <si>
    <t>18.14</t>
  </si>
  <si>
    <t>Interruptor simples (3 módulos), 10A/250V, incluindo suporte e placa - fornecimento e instalação.</t>
  </si>
  <si>
    <t>18.15</t>
  </si>
  <si>
    <t xml:space="preserve">Interruptor paralelo (2 módulos), 10A/250V, incluindo suporte e placa
fornecimento e instalação. </t>
  </si>
  <si>
    <t>18.16</t>
  </si>
  <si>
    <t xml:space="preserve">Tomada baixa de embutir (1 módulo), 2P+T 10 A, incluindo suporte e placa - fornecimento e instalação. </t>
  </si>
  <si>
    <t>18.17</t>
  </si>
  <si>
    <t xml:space="preserve">Tomada baixa de embutir (2 módulos), 2P+T 10 A, incluindo suporte e placa - fornecimento e instalação. </t>
  </si>
  <si>
    <t>ELETRODUTOS E CAIXAS</t>
  </si>
  <si>
    <t>18.18</t>
  </si>
  <si>
    <t xml:space="preserve">Rasgo em alvenaria para eletrodutos com diametros menores ou iguais a 40 mm. </t>
  </si>
  <si>
    <t>18.19</t>
  </si>
  <si>
    <t xml:space="preserve">Chumbamento linear em alvenaria para ramais/distribuição com diâmetros menores ou iguais a 40 mm. </t>
  </si>
  <si>
    <t>18.20</t>
  </si>
  <si>
    <t>Eletroduto flexível corrugado, pvc, dn 25 mm (3/4”), para circuitos terminais, instalado em parede - fornecimento e instalação.</t>
  </si>
  <si>
    <t>18.21</t>
  </si>
  <si>
    <t>Eletroduto flexível corrugado, pvc, dn 25 mm (3/4”), para circuitos terminais, instalado em forro - fornecimento e instalação.</t>
  </si>
  <si>
    <t>18.22</t>
  </si>
  <si>
    <t xml:space="preserve">Eletroduto rígido roscável, pvc, dn 25 mm (3/4"), para circuitos terminais, instalado em laje - fornecimento e instalação. </t>
  </si>
  <si>
    <t>18.23</t>
  </si>
  <si>
    <t>Eletroduto rígido roscável, pvc, dn 32 mm (1"), para circuitos terminais, instalado em laje - fornecimento e instalação.</t>
  </si>
  <si>
    <t>18.24</t>
  </si>
  <si>
    <t xml:space="preserve">Eletroduto rígido roscável, pvc, dn 60 mm (2") - fornecimento e instalação. </t>
  </si>
  <si>
    <t>18.25</t>
  </si>
  <si>
    <t xml:space="preserve">Quebra em alvenaria para instalação de caixa de tomada (4x4 ou 4x2) </t>
  </si>
  <si>
    <t>18.26</t>
  </si>
  <si>
    <t xml:space="preserve">Caixa octogonal 4" x 4", pvc, instalada em laje - fornecimento e instalação. </t>
  </si>
  <si>
    <t>18.27</t>
  </si>
  <si>
    <t>Caixa retangular 4” x 2” alta (2 m do piso), pvc, instalada em parede - fornecimento e instalação.</t>
  </si>
  <si>
    <t>und.</t>
  </si>
  <si>
    <t>18.28</t>
  </si>
  <si>
    <t>Caixa retangular 4” x 2” média (1,30 m do piso), pvc, instalada em parede - fornecimento e instalação.</t>
  </si>
  <si>
    <t>18.29</t>
  </si>
  <si>
    <t>Caixa retangular 4” x 2” baixa (0,30 m do piso), pvc, instalada em parede - fornecimento e instalação.</t>
  </si>
  <si>
    <t>18.30</t>
  </si>
  <si>
    <t>Caixa de passagem 50x50x60 fundo brita c/ tampa</t>
  </si>
  <si>
    <t>18.31</t>
  </si>
  <si>
    <t>Caixa de passagem 20x20x25 fundo brita c/ tampa</t>
  </si>
  <si>
    <t>CABOS</t>
  </si>
  <si>
    <t>18.32</t>
  </si>
  <si>
    <t xml:space="preserve">Cabo de cobre flexível isolado, 1,5 mm², anti-chama 450/750v, para circuitos terminais - fornecimento e instalação. </t>
  </si>
  <si>
    <t>18.33</t>
  </si>
  <si>
    <t xml:space="preserve">Cabo de cobre flexível isolado, 2,5 mm², anti-chama 450/750v, para circuitos terminais - fornecimento e instalação. </t>
  </si>
  <si>
    <t>18.34</t>
  </si>
  <si>
    <t xml:space="preserve">Cabo de cobre flexível isolado, 4 mm², anti-chama 450/750v, para circuitos terminais - fornecimento e instalação. </t>
  </si>
  <si>
    <t>18.35</t>
  </si>
  <si>
    <t xml:space="preserve">Cabo de cobre flexível isolado, 6 mm², anti-chama 0,6/1,0kv, para circuitos terminais - fornecimento e instalação. </t>
  </si>
  <si>
    <t>18.36</t>
  </si>
  <si>
    <t xml:space="preserve">Cabo de cobre flexível isolado, 16 mm², anti-chama 0,6/1,0kv, para distribuição - fornecimento e instalação. </t>
  </si>
  <si>
    <t>18.37</t>
  </si>
  <si>
    <t xml:space="preserve">Cabo de cobre flexível isolado, 35 mm², anti-chama 0,6/1,2kv, para distribuição - fornecimento e instalação. </t>
  </si>
  <si>
    <t>ATERRAMENTO</t>
  </si>
  <si>
    <t>18.38</t>
  </si>
  <si>
    <t>Cabo de cobre nu 50mm² - fornecimento e instalacao</t>
  </si>
  <si>
    <t>18.39</t>
  </si>
  <si>
    <t>Haste de aterramento em aco com 2,40 m de comprimento e dn = 5/8", revestida com baixa camada de cobre, com conector - fornecimento e instalação.</t>
  </si>
  <si>
    <t>18.40</t>
  </si>
  <si>
    <t>QUADROS</t>
  </si>
  <si>
    <t>74131/008</t>
  </si>
  <si>
    <t>18.41</t>
  </si>
  <si>
    <t>Quadro de distribuicao de energia de embutir, em chapa metalica, para 50 disjuntores termomagneticos monopolares, com barramento trifasico (100 A) e neutro - fornecimento e instalacao</t>
  </si>
  <si>
    <t>74131/005</t>
  </si>
  <si>
    <t>18.42</t>
  </si>
  <si>
    <t>Quadro de distribuicao de energia de embutir, em chapa metalica, para 24 disjuntores termomagneticos monopolares, com barramento trifasico (100 A) e neutro - fornecimento e instalacao</t>
  </si>
  <si>
    <t>18.43</t>
  </si>
  <si>
    <t xml:space="preserve">Disjuntor monopolar tipo DIN, corrente nominal de 10A - fornecimento e instalação. </t>
  </si>
  <si>
    <t>18.44</t>
  </si>
  <si>
    <t xml:space="preserve">Disjuntor monopolar tipo DIN, corrente nominal de 16A - fornecimento e instalação. </t>
  </si>
  <si>
    <t>18.45</t>
  </si>
  <si>
    <t xml:space="preserve">Disjuntor monopolar tipo DIN, corrente nominal de 20A - fornecimento e instalação. </t>
  </si>
  <si>
    <t>18.46</t>
  </si>
  <si>
    <t xml:space="preserve">Disjuntor bipolar tipo DIN, corrente nominal de 10A - fornecimento e instalação. </t>
  </si>
  <si>
    <t>18.47</t>
  </si>
  <si>
    <t xml:space="preserve">Disjuntor bipolar tipo DIN, corrente nominal de 16A - fornecimento e instalação. </t>
  </si>
  <si>
    <t>18.48</t>
  </si>
  <si>
    <t xml:space="preserve">Disjuntor tripolar tipo DIN, corrente nominal de 25A - fornecimento e instalação. </t>
  </si>
  <si>
    <t>18.49</t>
  </si>
  <si>
    <t xml:space="preserve">Disjuntor tripolar tipo DIN, corrente nominal de 32A - fornecimento e instalação. </t>
  </si>
  <si>
    <t>18.50</t>
  </si>
  <si>
    <t xml:space="preserve">Disjuntor tripolar tipo DIN, corrente nominal de 100A - fornecimento e instalação. </t>
  </si>
  <si>
    <t>18.51</t>
  </si>
  <si>
    <t>Dispositivo DR, bipolar, corrente nominal de 40A, 30mA - fornecimento e instalação.</t>
  </si>
  <si>
    <t>18.52</t>
  </si>
  <si>
    <t>Dispositivo DPS classe II, 1 polo, tensão máxima de 175 V, corrente maxima de 45kA (tipo AC) - fornecimento e instalação.</t>
  </si>
  <si>
    <t>18.53</t>
  </si>
  <si>
    <t>Entrada de energia elétrica aérea trifásica 100 A com poste de concreto, inclusive cabeamento, caixa de proteção para medidor e aterramento.</t>
  </si>
  <si>
    <t>CABEAMENTO ESTRUTURADO (TELEFONE E LÓGICA)</t>
  </si>
  <si>
    <t>19.1</t>
  </si>
  <si>
    <t>19.2</t>
  </si>
  <si>
    <t>19.3</t>
  </si>
  <si>
    <t xml:space="preserve">Tomada média de embutir (1 módulo), RJ-45 Cat5e, incluindo suporte e placa (4" x 2") - fornecimento e instalação.    </t>
  </si>
  <si>
    <t>19.4</t>
  </si>
  <si>
    <t xml:space="preserve">Tomada baixa de embutir (2 módulos), RJ-45 Cat5e, incluindo suporte e placa (4" x 2") - fornecimento e instalação. </t>
  </si>
  <si>
    <t>19.5</t>
  </si>
  <si>
    <t xml:space="preserve">Tomada baixa de embutir (3 módulos), RJ-45 Cat5e, incluindo suporte e placa (4"x4") - fornecimento e instalação.  </t>
  </si>
  <si>
    <t>19.6</t>
  </si>
  <si>
    <t xml:space="preserve">Tomada baixa de embutir (4 módulos), RJ-45 Cat5e, incluindo suporte e placa (4"x4") - fornecimento e instalação. </t>
  </si>
  <si>
    <t>19.7</t>
  </si>
  <si>
    <t>Redução para Eletrocalha Perfurada 75x50mm, altura 50mm, com fornecimento e instalação.</t>
  </si>
  <si>
    <t>19.8</t>
  </si>
  <si>
    <t>Eletrocalha Perfurada em Aço Galvanizado 50x50mm, inclusive emenda e fixação, fornecimento e instalação.</t>
  </si>
  <si>
    <t xml:space="preserve">m </t>
  </si>
  <si>
    <t>19.9</t>
  </si>
  <si>
    <t>Eletrocalha Perfurada em Aço Galvanizado 75x50mm, inclusive emenda e fixação, fornecimento e instalação.</t>
  </si>
  <si>
    <t>19.10</t>
  </si>
  <si>
    <t>Tê Horizontal 90̊ para Eletrocalha Perfurada em Aço Galvanizado 75x50mm</t>
  </si>
  <si>
    <t>19.11</t>
  </si>
  <si>
    <t>Tê Horizontal 90̊ para Eletrocalha Perfurada em Aço Galvanizado 50x50mm, fornecimento e instalação.</t>
  </si>
  <si>
    <t>19.12</t>
  </si>
  <si>
    <t>Cotovelo reto 90̊ para Eletrocalha Perfurada em Aço Galvanizado  50x50mm, fornecimento e instalação.</t>
  </si>
  <si>
    <t>19.13</t>
  </si>
  <si>
    <t>Curva de inversão para  Eletrocalha Perfurada em Aço Galvanizado 75x50mm.</t>
  </si>
  <si>
    <t>19.14</t>
  </si>
  <si>
    <t>Terminal para Eletrocalha Perfurada em Aço Galvanizado.</t>
  </si>
  <si>
    <t>19.15</t>
  </si>
  <si>
    <t>Derivação para eletroduto 3/4" para Eletrocalha Perfurada em Aço Galvanizado.</t>
  </si>
  <si>
    <t>19.16</t>
  </si>
  <si>
    <t>19.17</t>
  </si>
  <si>
    <t>19.18</t>
  </si>
  <si>
    <t>Eletroduto de aço galvanizado, classe leve, dn 20 mm (3/4"), aparente
,instalado em teto - fornecimento e instalação.</t>
  </si>
  <si>
    <t>19.19</t>
  </si>
  <si>
    <t>Eletroduto de aço galvanizado, classe leve, dn 60 mm (2"), aparente
,instalado em teto - fornecimento e instalação.</t>
  </si>
  <si>
    <t>19.20</t>
  </si>
  <si>
    <t>19.21</t>
  </si>
  <si>
    <t>Eletroduto rígido roscável, pvc, dn 60 mm (2") - fornecimento e instalação.</t>
  </si>
  <si>
    <t>19.22</t>
  </si>
  <si>
    <t>Quadro de distribuicao para telefone n.3, 40x40x12cm em chapa metalica, de embutir, sem acessorios, padrao telebras, fornecimento e instalação</t>
  </si>
  <si>
    <t>73749/001</t>
  </si>
  <si>
    <t>19.23</t>
  </si>
  <si>
    <t>Caixa enterrada para instalações telefônicas tipo R1 0,60x0,35x0,50m em blocos de concreto estrutural</t>
  </si>
  <si>
    <t>ACESSIBILIDADE</t>
  </si>
  <si>
    <t>20.1</t>
  </si>
  <si>
    <t>Fornecimento e assentamento de piso tátil DIRECIONAL –ÁREA INTERNA - 25x25 cm</t>
  </si>
  <si>
    <t>20.2</t>
  </si>
  <si>
    <t>Fornecimento e assentamento de piso tátil ALERTA  –ÁREA INTERNA – 25x25 cm</t>
  </si>
  <si>
    <t>PAVIMENTAÇÃO EXTERNA</t>
  </si>
  <si>
    <t>94275</t>
  </si>
  <si>
    <t>21.1</t>
  </si>
  <si>
    <t>MEIO-FIO (GUIA) DE CONCRETO PRÉ-MOLDADO, DIMENSÕES 12X15X30X100CM (FACE SUPERIORXFACE INFRERIOR X ALTURA X COMPRIMENTO, REJUNTADO COM ARGAMASSA 1:4, CIMENTO + AREIA, INCLUINDO ESCAVAÇÃO E REATERRO</t>
  </si>
  <si>
    <t>21.2</t>
  </si>
  <si>
    <t>Execução de passeio em piso intertravado com bloco 16 faces de 22x11cm, espessura 6cm, (FCK = 35MPa)</t>
  </si>
  <si>
    <t>21.3</t>
  </si>
  <si>
    <t>Execução de piso/estacionamento em piso intertravado com bloco sextavado de 25 x 25, espessura 6cm, (FCK = 35MPa)</t>
  </si>
  <si>
    <t>21.4</t>
  </si>
  <si>
    <t xml:space="preserve">EXECUÇÃO DE PASSEIO (CALÇADA) OU PISO DE CONCRETO COM CONCRETO MOLDADO IN LOCO, FEITO EM OBRA, ACABAMENTO CONVENCIONAL, NÃO ARMADO. </t>
  </si>
  <si>
    <t>74236/001</t>
  </si>
  <si>
    <t>21.5</t>
  </si>
  <si>
    <t>Jardim  grama em placas sobre adubo , incluindo mudas de pequeno porte (croton, ichória)</t>
  </si>
  <si>
    <t>BASE E ABRIGO PARA QUADRO GERADOR</t>
  </si>
  <si>
    <t>22.1</t>
  </si>
  <si>
    <t>Casa para quadro de transferência, chapiscado e rebocado</t>
  </si>
  <si>
    <t>22.2</t>
  </si>
  <si>
    <t>Piso casa do Gerador</t>
  </si>
  <si>
    <t>22.3</t>
  </si>
  <si>
    <t>Estrutura de cobertura</t>
  </si>
  <si>
    <t>22.4</t>
  </si>
  <si>
    <t>Telha Fibrocimento</t>
  </si>
  <si>
    <t>22.5</t>
  </si>
  <si>
    <t xml:space="preserve">Base para gerador, concreto moldado in loco, espessura de 15cm. </t>
  </si>
  <si>
    <t>22.6</t>
  </si>
  <si>
    <t>Ferragem base do gerador</t>
  </si>
  <si>
    <t>DIVERSOS</t>
  </si>
  <si>
    <t xml:space="preserve">Todas as informações necessárias de definição de itens, cores e outros itens com a Defensoria deve ser feito com no minimo 20dias e esse prazo não deve ser repassado para o cronograma </t>
  </si>
  <si>
    <t>23.1</t>
  </si>
  <si>
    <t>Ligação Definitiva de Água</t>
  </si>
  <si>
    <t>23.2</t>
  </si>
  <si>
    <t>Ligação Definitiva de Energia</t>
  </si>
  <si>
    <t>23.3</t>
  </si>
  <si>
    <t>Limpeza final da obra</t>
  </si>
  <si>
    <t>23.4</t>
  </si>
  <si>
    <t>Placas de identificação das salas, em acrílico, medindo 25x8 cm – espessura de 2mm (Deve ser solicitado da fiscalização os nomes para colocar nas placas)</t>
  </si>
  <si>
    <t>23.5</t>
  </si>
  <si>
    <t>Simbolo da Defensoria Pública com Letreiro com Letras aço inox (AISI 304), chapa num. 22, Recortado, H=20 cm - Dizeres: DEFENSORIA PÚBLICA DO ESTADO DE RORAIMA - ALTO ALEGRE, com letras em Aço Inox Chapa 22 - com fixação no local indicado pela Fiscalização</t>
  </si>
  <si>
    <t>23.6</t>
  </si>
  <si>
    <t>Placa inauguração (Informações e Modelo serão fornecido pela DEFENSORIA)</t>
  </si>
  <si>
    <t>74100/001</t>
  </si>
  <si>
    <t>23.7</t>
  </si>
  <si>
    <t>Portão de ferro</t>
  </si>
  <si>
    <t>23.8</t>
  </si>
  <si>
    <t>Pintura de Portão</t>
  </si>
  <si>
    <t xml:space="preserve"> DESPESAS INDIRETAS DA OBRA</t>
  </si>
  <si>
    <t>24.1</t>
  </si>
  <si>
    <t>Despesas de transporte de materiais p/ o canteiro</t>
  </si>
  <si>
    <t>24.2</t>
  </si>
  <si>
    <t>Administração local da obra</t>
  </si>
  <si>
    <t>CUSTO TOTAL</t>
  </si>
  <si>
    <t>PREÇO TOTAL (BDI 29,07%)</t>
  </si>
  <si>
    <t>Equipamentos</t>
  </si>
  <si>
    <t>25.1</t>
  </si>
  <si>
    <t>Grupo Gerador, a diesesl, montado em contêiner, silenciado com potência mínima de 53/48 kVA - 42 / 38 kWe (Emergência / Principal), trifásico, com fator de potência 0,8, na tensão de 220 /127 V, 60Hz, ligado à rede de energia elétrica do prédio através de chave de transferência automática.</t>
  </si>
  <si>
    <t>PREÇO TOTAL (BDI DIFERENCIADO 20,93%)</t>
  </si>
  <si>
    <t>OBSERVAÇÕES:                                                                                                                                                                                                                                    1 - Os serviços de despesas indiretas da obra devem ser medidos e pagos conforme o pecentual de execução da obra e deve ser mostrado no boletim de medição.</t>
  </si>
  <si>
    <t>BOA VISTA - RR</t>
  </si>
  <si>
    <t>ANEXO PB IV   -   CRONOGRAMA FÍSICO-FINANCEIRO</t>
  </si>
  <si>
    <t>SERVIÇOS</t>
  </si>
  <si>
    <t>30D</t>
  </si>
  <si>
    <t>60D</t>
  </si>
  <si>
    <t>90D</t>
  </si>
  <si>
    <t>120D</t>
  </si>
  <si>
    <t>150D</t>
  </si>
  <si>
    <t>180D</t>
  </si>
  <si>
    <t>210D</t>
  </si>
  <si>
    <t>TOTAL</t>
  </si>
  <si>
    <t>ESTRUTURA</t>
  </si>
  <si>
    <t>PAVIMENTAÇÃO INTERNA</t>
  </si>
  <si>
    <t>ALVENARIA/DIVISORIAS</t>
  </si>
  <si>
    <t>ESQUADRIAS/VERGAS/CONTRAVERGAS/FECHADURA</t>
  </si>
  <si>
    <t>SOLEIRAS/PEITORIS/RODAPE</t>
  </si>
  <si>
    <t>SANITÁRIO</t>
  </si>
  <si>
    <t>DRENAGEM / AGUAS PLUVIAIS</t>
  </si>
  <si>
    <t>CABEAMENTO ESTRUTURADO</t>
  </si>
  <si>
    <t>BASE E ABRIGO - GERADOR</t>
  </si>
  <si>
    <t>GRUPO GERADOR</t>
  </si>
  <si>
    <t>DESPESAS INDIRETAS DA OBRA</t>
  </si>
  <si>
    <t>PERCENTUAL SIMPLES</t>
  </si>
  <si>
    <t>PERCENTUAL ACUMULADO</t>
  </si>
  <si>
    <t>TOTAL SIMPLES</t>
  </si>
  <si>
    <t>TOTAL ACUMULADO</t>
  </si>
  <si>
    <t>OBSERVAÇÃO:</t>
  </si>
  <si>
    <t>BOA VISTA - RR, Setembro/2017</t>
  </si>
  <si>
    <t>ANEXO PB V  -  CURVA ABC DOS PREÇOS</t>
  </si>
  <si>
    <t>PREÇO (R$)</t>
  </si>
  <si>
    <t>PART. (%)</t>
  </si>
  <si>
    <t>PART. ACUMUL. (%)</t>
  </si>
  <si>
    <t>COMP. 42 - DPE</t>
  </si>
  <si>
    <t>FAIXA A</t>
  </si>
  <si>
    <t>COTAÇÃO 027</t>
  </si>
  <si>
    <t>Grupo Gerador, a diesesl, montado em contêiner, silenciado com potência mínima de 55/ 50 kVA - 44 / 40 kWe (Emergência / Principal), trifásico, com fator de potência 0,8, na tensão de 220 /127 V, 60Hz, ligado à rede de energia elétrica do prédio através de chave de transferência automática.</t>
  </si>
  <si>
    <t>COMP. 06 - DPE</t>
  </si>
  <si>
    <t>COMP. 41 - DPE</t>
  </si>
  <si>
    <t>COMP. 13 - DPE</t>
  </si>
  <si>
    <t>COMP. 16 - DPE</t>
  </si>
  <si>
    <t>Lastro em concreto simples , 1:3:5 , com adição de impermeabilizante, espessura de 8cm – para a ser ampliada</t>
  </si>
  <si>
    <t>COTAÇÃO 028</t>
  </si>
  <si>
    <t>COMP. 02 - DPE</t>
  </si>
  <si>
    <t>FAIXA B</t>
  </si>
  <si>
    <t>COMP. 10 - DPE</t>
  </si>
  <si>
    <t>COMP. 07 - DPE</t>
  </si>
  <si>
    <t>COMP. 05 - DPE</t>
  </si>
  <si>
    <t>Brita sobre restante do terreno aterrado</t>
  </si>
  <si>
    <t>COMP. 04 - DPE</t>
  </si>
  <si>
    <t>COMP. 14 - DPE</t>
  </si>
  <si>
    <t>COMP. 11 - DPE</t>
  </si>
  <si>
    <t>COMP. 15 - DPE</t>
  </si>
  <si>
    <t>COMP. 23 - DPE</t>
  </si>
  <si>
    <t>FAIXA C</t>
  </si>
  <si>
    <t>COMP. 22 - DPE</t>
  </si>
  <si>
    <t>COMP. 08 - DPE</t>
  </si>
  <si>
    <t>COMP. 19 - DPE</t>
  </si>
  <si>
    <t>Caixa inspeção em concreto, com tampa para aterramento diametro = 300 mm - fornecimento e instalação.</t>
  </si>
  <si>
    <t>COMP. 09 - DPE</t>
  </si>
  <si>
    <t>COMP. 38 - DPE</t>
  </si>
  <si>
    <t>COMP. 29 - DPE</t>
  </si>
  <si>
    <t>COMP. 17 - DPE</t>
  </si>
  <si>
    <t>COMP. 12 - DPE</t>
  </si>
  <si>
    <t>COMP. 25 - DPE</t>
  </si>
  <si>
    <t>COMP. 27 - DPE</t>
  </si>
  <si>
    <t>COMP. 01 - DPE</t>
  </si>
  <si>
    <t>COMP. 26 - DPE</t>
  </si>
  <si>
    <t>COMP. 20 - DPE</t>
  </si>
  <si>
    <t>COMP. 33 - DPE</t>
  </si>
  <si>
    <t>COMP. 32 - DPE</t>
  </si>
  <si>
    <t>COMP. 36 - DPE</t>
  </si>
  <si>
    <t>COMP. 37 - 
DPE</t>
  </si>
  <si>
    <t>COMP. 30 - DPE</t>
  </si>
  <si>
    <t>COMP. 28 - DPE</t>
  </si>
  <si>
    <t>COMP. 18 - DPE</t>
  </si>
  <si>
    <t>COMP. 35 - DPE</t>
  </si>
  <si>
    <t>COMP. 31 - DPE</t>
  </si>
  <si>
    <t>COMP. 24 - DPE</t>
  </si>
  <si>
    <t>COMP. 40 - DPE</t>
  </si>
  <si>
    <t>COMP. 39 - DPE</t>
  </si>
  <si>
    <t>COMP. 34 - DPE</t>
  </si>
  <si>
    <t>ANEXO PB VI  -  MEMÓRIA DE CÁLCULO DOS QUANTITATIVOS</t>
  </si>
  <si>
    <t>0 - DADOS DA OBRA</t>
  </si>
  <si>
    <t>DISCRIMINAÇÃO</t>
  </si>
  <si>
    <t>AREA (m²)</t>
  </si>
  <si>
    <t>AREA CONSTRUIDA</t>
  </si>
  <si>
    <t>ÁREA DE COBERTURA</t>
  </si>
  <si>
    <t>ATERRO</t>
  </si>
  <si>
    <t>Esp.</t>
  </si>
  <si>
    <t>esp.</t>
  </si>
  <si>
    <t>1 - SERVIÇOS PRELIMINARES (M²)</t>
  </si>
  <si>
    <t>UND</t>
  </si>
  <si>
    <t>COMP. (m)</t>
  </si>
  <si>
    <t>ALTURA (m)</t>
  </si>
  <si>
    <t>LARGURA (m)</t>
  </si>
  <si>
    <t>Limpeza do Terreno</t>
  </si>
  <si>
    <t>Remoção de árvores</t>
  </si>
  <si>
    <t>Locação da Obra</t>
  </si>
  <si>
    <t>PLACA DA OBRA</t>
  </si>
  <si>
    <t>BANHEIRO/VESTIARIO PROVISORIO</t>
  </si>
  <si>
    <t>ESCRITORIO PROVISORIO</t>
  </si>
  <si>
    <t>REFEITORIO PROVISORIO</t>
  </si>
  <si>
    <t>ALMOXARIFADO</t>
  </si>
  <si>
    <t>GALPÃO CARPINTARIA</t>
  </si>
  <si>
    <t>GALPÃO DE ARMAÇÃO</t>
  </si>
  <si>
    <t>LIGAÇÃO PROVISORIA ÁGUA</t>
  </si>
  <si>
    <t>LIGAÇÃO PROVISORIA DE ENERGIA</t>
  </si>
  <si>
    <t xml:space="preserve">3 - MURO </t>
  </si>
  <si>
    <t>3.1 ESCAVAÇÃO MANUAL DE VALAS</t>
  </si>
  <si>
    <t>Comp. (m)</t>
  </si>
  <si>
    <t>Larg. (m)</t>
  </si>
  <si>
    <t>Altura (m)</t>
  </si>
  <si>
    <t>Total (m³)</t>
  </si>
  <si>
    <t>Escavação Manual de valas</t>
  </si>
  <si>
    <t>Reaterro</t>
  </si>
  <si>
    <t>Escavação - alicerce - baldrame enterrado</t>
  </si>
  <si>
    <t>3.2 INFRAESTRUTURA</t>
  </si>
  <si>
    <t>3.2.1 CONCRETO</t>
  </si>
  <si>
    <t>Alicerce</t>
  </si>
  <si>
    <t>Baldrame enterrado</t>
  </si>
  <si>
    <t>Baldrame</t>
  </si>
  <si>
    <t>Baldrame projeto - baldrame enterrado</t>
  </si>
  <si>
    <t>3.2.2 FERRAGEM</t>
  </si>
  <si>
    <t>Peso (kg)</t>
  </si>
  <si>
    <t>Ferragem</t>
  </si>
  <si>
    <t>Retirado do projeto</t>
  </si>
  <si>
    <t>Bitola 5mm</t>
  </si>
  <si>
    <t>Bitola 8mm</t>
  </si>
  <si>
    <t>3.2.3 Forma</t>
  </si>
  <si>
    <t>Área (m²)</t>
  </si>
  <si>
    <t>Forma Tabua</t>
  </si>
  <si>
    <t>3.3 PILARES</t>
  </si>
  <si>
    <t>3.3.1 CONCRETO</t>
  </si>
  <si>
    <t>Concreto</t>
  </si>
  <si>
    <t>3.3.2 FERRAGEM</t>
  </si>
  <si>
    <t>Bitola 10mm</t>
  </si>
  <si>
    <t>3.4 REVESTIMENTO</t>
  </si>
  <si>
    <t>Desc. (m²)</t>
  </si>
  <si>
    <t>Total. (m²)</t>
  </si>
  <si>
    <t>Alvenaria Gradil</t>
  </si>
  <si>
    <t>Alvenaria x lados (2)</t>
  </si>
  <si>
    <t>Reboco</t>
  </si>
  <si>
    <t>Igual chapisco</t>
  </si>
  <si>
    <t>Pingadeira (m)</t>
  </si>
  <si>
    <t>metros</t>
  </si>
  <si>
    <t>Gradil</t>
  </si>
  <si>
    <t>3.5 PINTURA</t>
  </si>
  <si>
    <t>Quant.</t>
  </si>
  <si>
    <t>SELADOR</t>
  </si>
  <si>
    <t>Igual Reboco</t>
  </si>
  <si>
    <t>Pintura</t>
  </si>
  <si>
    <t xml:space="preserve">4 - MOVIMENTO DE TERRA </t>
  </si>
  <si>
    <t xml:space="preserve"> ESCAVAÇÃO MANUAL</t>
  </si>
  <si>
    <t>P1,P9,P25</t>
  </si>
  <si>
    <t>P2,P8,P35,P37,P46</t>
  </si>
  <si>
    <t>P3,P16,P23,P27,P33</t>
  </si>
  <si>
    <t>P4, P6, P11, P13, P14, P19, P20, P22, P51</t>
  </si>
  <si>
    <t>P5,P40</t>
  </si>
  <si>
    <t>P7,P15,P21,P24,P28,P29,P31,P32,P34</t>
  </si>
  <si>
    <t>P10, P12, P17, P49</t>
  </si>
  <si>
    <t>P18</t>
  </si>
  <si>
    <t>P26</t>
  </si>
  <si>
    <t>P30,P36,P39,P41</t>
  </si>
  <si>
    <t>P38</t>
  </si>
  <si>
    <t>P42,P43</t>
  </si>
  <si>
    <t>P44</t>
  </si>
  <si>
    <t>P45</t>
  </si>
  <si>
    <t>P47,P48,P50,P52</t>
  </si>
  <si>
    <t>Reaterro (m²)</t>
  </si>
  <si>
    <t>Escavação - Sapatas</t>
  </si>
  <si>
    <t>5 - INFRAESTRUTURA E SUPERESTRUTURA</t>
  </si>
  <si>
    <t>DESCRIÇÃO</t>
  </si>
  <si>
    <t>Sapatas e Arranque</t>
  </si>
  <si>
    <t>Forma</t>
  </si>
  <si>
    <t>CA60</t>
  </si>
  <si>
    <t>Concreto Magro</t>
  </si>
  <si>
    <t>Vigas Baldrame</t>
  </si>
  <si>
    <t>Pilares</t>
  </si>
  <si>
    <t>Vigas Cobertura</t>
  </si>
  <si>
    <t>Laje Cobertura</t>
  </si>
  <si>
    <t>Pilares Reservatorio</t>
  </si>
  <si>
    <t>laje reservatorio (10,35m²)</t>
  </si>
  <si>
    <t>6 - PAVIMENTAÇÃO</t>
  </si>
  <si>
    <t>Material para Aterro</t>
  </si>
  <si>
    <t>Area de Piso (m²)</t>
  </si>
  <si>
    <t>Vol. (m³)</t>
  </si>
  <si>
    <t>Aterro da edificação</t>
  </si>
  <si>
    <t>Lastro em Concreto / Contrapiso</t>
  </si>
  <si>
    <t>Área de Piso (m²)</t>
  </si>
  <si>
    <t>Recepção</t>
  </si>
  <si>
    <t>Corredor</t>
  </si>
  <si>
    <t>Assessoria 02</t>
  </si>
  <si>
    <t>W.C. 04</t>
  </si>
  <si>
    <t>Gabinete 02</t>
  </si>
  <si>
    <t>Auditorio</t>
  </si>
  <si>
    <t>Cozinha</t>
  </si>
  <si>
    <t>Wall Externo</t>
  </si>
  <si>
    <t>W.C. 05</t>
  </si>
  <si>
    <t>Lavanderia</t>
  </si>
  <si>
    <t>Arquivo</t>
  </si>
  <si>
    <t>Almoxarifado</t>
  </si>
  <si>
    <t>Gabinete 01</t>
  </si>
  <si>
    <t>W.C. 03</t>
  </si>
  <si>
    <t>Assessoria 01</t>
  </si>
  <si>
    <t>W.C. 02</t>
  </si>
  <si>
    <t>P.N.E</t>
  </si>
  <si>
    <t>W.C. 01</t>
  </si>
  <si>
    <t>TOTAL (m³)</t>
  </si>
  <si>
    <t>CERÂMICA PISO</t>
  </si>
  <si>
    <t>AREA (m2)</t>
  </si>
  <si>
    <t>Área Maior 10m²</t>
  </si>
  <si>
    <t>Área Menor 5m²</t>
  </si>
  <si>
    <t>Área entre 5m² e 10m²</t>
  </si>
  <si>
    <t>Auditorio Piso elevado</t>
  </si>
  <si>
    <t>Area (m²)</t>
  </si>
  <si>
    <t>Volume (m³)</t>
  </si>
  <si>
    <t>Espalhamento e Compactação</t>
  </si>
  <si>
    <t>Lastro de Concreto</t>
  </si>
  <si>
    <t>Contrapiso</t>
  </si>
  <si>
    <t>Porcelanato Área entre 5m² a 10m²</t>
  </si>
  <si>
    <t>7 - ALVENARIA (M²)</t>
  </si>
  <si>
    <t>DESCONTO (m2)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</si>
  <si>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</si>
  <si>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</si>
  <si>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</si>
  <si>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</si>
  <si>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</si>
  <si>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</si>
  <si>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</si>
  <si>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</si>
  <si>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</si>
  <si>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</si>
  <si>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</si>
  <si>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</si>
  <si>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</si>
  <si>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</si>
  <si>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</si>
  <si>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</si>
  <si>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</si>
  <si>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P19</t>
  </si>
  <si>
    <t>P20</t>
  </si>
  <si>
    <t>P21</t>
  </si>
  <si>
    <t>P22</t>
  </si>
  <si>
    <t>P23</t>
  </si>
  <si>
    <t>P24</t>
  </si>
  <si>
    <t>P25</t>
  </si>
  <si>
    <t>P27</t>
  </si>
  <si>
    <t>P28</t>
  </si>
  <si>
    <t>P29</t>
  </si>
  <si>
    <t>P30</t>
  </si>
  <si>
    <t>P31</t>
  </si>
  <si>
    <t>PLATIBANDA</t>
  </si>
  <si>
    <t>RESERVATORIO</t>
  </si>
  <si>
    <t>DIVISORIA GRANITO MASCULINO</t>
  </si>
  <si>
    <t>DIVISORIA GRANITO FEMININO</t>
  </si>
  <si>
    <t>COMP.</t>
  </si>
  <si>
    <t>ENCUNHAMENTO</t>
  </si>
  <si>
    <t>8 - REVESTIMENTOS (m²)</t>
  </si>
  <si>
    <t>CHAPISCO</t>
  </si>
  <si>
    <t>DESCONTO (m²)</t>
  </si>
  <si>
    <t>LADOS</t>
  </si>
  <si>
    <t>TOTAL (m²)</t>
  </si>
  <si>
    <t>EXTERNO</t>
  </si>
  <si>
    <t>PORTAS / JANELAS</t>
  </si>
  <si>
    <t>PASTILHAS</t>
  </si>
  <si>
    <t>Platibanda</t>
  </si>
  <si>
    <t>Reservatorio</t>
  </si>
  <si>
    <t>INTERNO</t>
  </si>
  <si>
    <t>Laje Externa</t>
  </si>
  <si>
    <t>REBOCO</t>
  </si>
  <si>
    <t>REBOCO = CHAPISCO INTERNO + CHAPISCO EXTERNO</t>
  </si>
  <si>
    <t>PASTILHA REVESTIMENTO PAREDE BANHEIRO</t>
  </si>
  <si>
    <t>COMPRIM.</t>
  </si>
  <si>
    <t>ALTURA</t>
  </si>
  <si>
    <t>DESCONTOS</t>
  </si>
  <si>
    <t>W.C.01</t>
  </si>
  <si>
    <t>W.C.02</t>
  </si>
  <si>
    <t>W.C.03</t>
  </si>
  <si>
    <t>W.C.04</t>
  </si>
  <si>
    <t>W.C.05</t>
  </si>
  <si>
    <t>REVESTIMENTO PASTILHA PAREDE EXTERNA</t>
  </si>
  <si>
    <t>Frente</t>
  </si>
  <si>
    <t>Lado Esquerdo</t>
  </si>
  <si>
    <t>Lado Direito</t>
  </si>
  <si>
    <t>Fundo</t>
  </si>
  <si>
    <t>9 - PINTURA / SELADOR / MASSA CORRIDA(M²)</t>
  </si>
  <si>
    <t>COMPRIM. (m)</t>
  </si>
  <si>
    <t>10 - ESQUADRIAS/VERGAS/CONTRAVERGA (M²)</t>
  </si>
  <si>
    <t>10.1 - PORTAS</t>
  </si>
  <si>
    <t>ÁREA (m²)</t>
  </si>
  <si>
    <t>P6 - PORTA Reservatorio e Casa gerador</t>
  </si>
  <si>
    <t>VÃO ABERTURA 01</t>
  </si>
  <si>
    <t>VÃO ABERTURA 02</t>
  </si>
  <si>
    <t>VERGA PORTAS até 1,50m</t>
  </si>
  <si>
    <t>VERGA PORTAS mais de 1,50m</t>
  </si>
  <si>
    <t>10.2 - JANELAS</t>
  </si>
  <si>
    <t>Altura</t>
  </si>
  <si>
    <t>LARGURA</t>
  </si>
  <si>
    <t>Quantidade</t>
  </si>
  <si>
    <t>J1</t>
  </si>
  <si>
    <t>J2</t>
  </si>
  <si>
    <t>J3</t>
  </si>
  <si>
    <t>Contraverga até 1,50m</t>
  </si>
  <si>
    <t>Contraverga mais de 1,50</t>
  </si>
  <si>
    <t>Verga até 1,50m</t>
  </si>
  <si>
    <t>Verga mais de 1,50</t>
  </si>
  <si>
    <t>Grade</t>
  </si>
  <si>
    <t>11.0 - SOLEIRAS/PEITORIS/RODAPE</t>
  </si>
  <si>
    <t>11.1 - Soleiras</t>
  </si>
  <si>
    <t>Portas</t>
  </si>
  <si>
    <t>Soma de vergas da porta</t>
  </si>
  <si>
    <t>11.2 - Peitoris</t>
  </si>
  <si>
    <t>Janelas</t>
  </si>
  <si>
    <t>Soma de vergas das Janelas</t>
  </si>
  <si>
    <t>11.3 - Rodapé</t>
  </si>
  <si>
    <t>Perimetro (m)</t>
  </si>
  <si>
    <t>Desconto (m)</t>
  </si>
  <si>
    <t>Per. Total (m)</t>
  </si>
  <si>
    <t>12 - FORRO</t>
  </si>
  <si>
    <t>ÁREA</t>
  </si>
  <si>
    <t>13 - COBERTURA</t>
  </si>
  <si>
    <t>Metro (m)</t>
  </si>
  <si>
    <t>Área Total</t>
  </si>
  <si>
    <t>Estrutura Metalica</t>
  </si>
  <si>
    <t>Cobertura Telha Metalica</t>
  </si>
  <si>
    <t>Pintura anticorrisva e pintura esmalte fosco</t>
  </si>
  <si>
    <t>Rufo</t>
  </si>
  <si>
    <t>Cumeeira</t>
  </si>
  <si>
    <t>14 - HIDRAULICA</t>
  </si>
  <si>
    <t>Sub-ramal</t>
  </si>
  <si>
    <t>TUBULAÇÃO PVC 25mm</t>
  </si>
  <si>
    <t>TUBULAÇÃO PVC 32mm</t>
  </si>
  <si>
    <t>TUBULAÇÃO PVC 40mm</t>
  </si>
  <si>
    <t>UNIDADE</t>
  </si>
  <si>
    <t>CAIXA D'ÁGUA</t>
  </si>
  <si>
    <t>ALIMENTAÇÃO</t>
  </si>
  <si>
    <t>CAVALETE</t>
  </si>
  <si>
    <t>15 - SANITARIO</t>
  </si>
  <si>
    <t>16 - LOUÇAS E METAIS (M²)</t>
  </si>
  <si>
    <t>LAVATORIO PADRÃO MEDIO</t>
  </si>
  <si>
    <t>LAVATORIO PNE</t>
  </si>
  <si>
    <t>VASO SANITÁRIO</t>
  </si>
  <si>
    <t>PNE</t>
  </si>
  <si>
    <t>MICTORIO</t>
  </si>
  <si>
    <t>SABONETEIRA</t>
  </si>
  <si>
    <t>PAPELEIRA INOX</t>
  </si>
  <si>
    <t>17 - DRENAGEM/AGUAS PLUVIAIS</t>
  </si>
  <si>
    <t>TUBULAÇÃO PVC 100mm</t>
  </si>
  <si>
    <t>RETIRADO PROJETO + Tubulação descida calhas + Tubulação Reservatorio</t>
  </si>
  <si>
    <t>Largura (m)</t>
  </si>
  <si>
    <t>Calha 01</t>
  </si>
  <si>
    <t>Calha 02</t>
  </si>
  <si>
    <t>Calha 03</t>
  </si>
  <si>
    <t>Total (m)</t>
  </si>
  <si>
    <t>Calha Metalica Dimensões Menores</t>
  </si>
  <si>
    <t>Calha Metalica Dimensões Maiores</t>
  </si>
  <si>
    <t>Dreno de Ar-condicionado</t>
  </si>
  <si>
    <t>Tubulação Vertical</t>
  </si>
  <si>
    <t>Tubulação Horizontal</t>
  </si>
  <si>
    <t>18 - INCENDIO</t>
  </si>
  <si>
    <t>PLACA S-3</t>
  </si>
  <si>
    <t>PLACA S2-E</t>
  </si>
  <si>
    <t>PLACA S2-D</t>
  </si>
  <si>
    <t>TIPO E-17</t>
  </si>
  <si>
    <t>PLACA  E-5</t>
  </si>
  <si>
    <t>EXTINTORES PO ABC</t>
  </si>
  <si>
    <t>LUMINARIA DE EMERGÊNCIA</t>
  </si>
  <si>
    <t>19 - ELETRICO</t>
  </si>
  <si>
    <t>12.1 RASGO 40mm²</t>
  </si>
  <si>
    <t>Comp.</t>
  </si>
  <si>
    <t>Total</t>
  </si>
  <si>
    <t>TOMADA ALTA</t>
  </si>
  <si>
    <t>TOMADA MÉDIA/INTERRUPTOR</t>
  </si>
  <si>
    <t>TOMADA BAIXA</t>
  </si>
  <si>
    <t>DESCIDA PARA QUADRO</t>
  </si>
  <si>
    <t>20 - CABEAMENTO ESTRUTURADO</t>
  </si>
  <si>
    <t>COMPRIMENTO</t>
  </si>
  <si>
    <t>TOMADA MÉDIA</t>
  </si>
  <si>
    <t>21 - ACESSIBILIDADE</t>
  </si>
  <si>
    <t>QUANTIDADE</t>
  </si>
  <si>
    <t>AREA UNID</t>
  </si>
  <si>
    <t>22 - PAVIMENTAÇÃO</t>
  </si>
  <si>
    <t xml:space="preserve">TOTAL </t>
  </si>
  <si>
    <t>Meio fio</t>
  </si>
  <si>
    <t>Piso intertravado Calçada</t>
  </si>
  <si>
    <t>Piso intertravado estacionamento/pista</t>
  </si>
  <si>
    <t>Calçada concreto moldado in loco</t>
  </si>
  <si>
    <t>Jardim grama</t>
  </si>
  <si>
    <t>23 - BASE E ABRIGO PARA GERADOR E QUADRO DE TRANSFERENCIA</t>
  </si>
  <si>
    <t>altura</t>
  </si>
  <si>
    <t>largura</t>
  </si>
  <si>
    <t>Volume</t>
  </si>
  <si>
    <t>Casa Gerador</t>
  </si>
  <si>
    <t>Piso Casa Gerador</t>
  </si>
  <si>
    <t>Estrutura Cobertura e Telha</t>
  </si>
  <si>
    <t>Piso base gerador</t>
  </si>
  <si>
    <t>24 - TRANSPORTE DE MATERIAL</t>
  </si>
  <si>
    <t>DISCRIMINAÇÃO (UNIDADE)</t>
  </si>
  <si>
    <t>COMPOSI.</t>
  </si>
  <si>
    <t>CONSUMO</t>
  </si>
  <si>
    <t>PESO ESPECÍF. (KG/UND)</t>
  </si>
  <si>
    <t>PESO TOTAL (TON)</t>
  </si>
  <si>
    <t>Alvenaria de Vedação (89168)</t>
  </si>
  <si>
    <t>Alven. 01 (87495)</t>
  </si>
  <si>
    <t>Alvenaria (milheiro)</t>
  </si>
  <si>
    <t>Alven. 02 (87503)</t>
  </si>
  <si>
    <t>1,9ton/milheiro</t>
  </si>
  <si>
    <t>Alven. 03 (87511)</t>
  </si>
  <si>
    <t>Alven. 04 (87519)</t>
  </si>
  <si>
    <t>Cimento</t>
  </si>
  <si>
    <t>Cimento (kg)</t>
  </si>
  <si>
    <t>Cal</t>
  </si>
  <si>
    <t>Cal (kg)</t>
  </si>
  <si>
    <t>Areia</t>
  </si>
  <si>
    <t>Areia (m³)</t>
  </si>
  <si>
    <t>Alvenaria de Vedação (87503)</t>
  </si>
  <si>
    <t>Reboco Massa única (89173)</t>
  </si>
  <si>
    <t>Concreto Fck 25MPa (94965)</t>
  </si>
  <si>
    <t>Pedra (m³)</t>
  </si>
  <si>
    <t>Forro modular em PVC 60x120cm</t>
  </si>
  <si>
    <t>2,04Kg/m²</t>
  </si>
  <si>
    <t>Fabricação de forma - PILAR (92427)</t>
  </si>
  <si>
    <t>Chapa Compensada</t>
  </si>
  <si>
    <t>Chapa (m2)</t>
  </si>
  <si>
    <t>12kg/m2</t>
  </si>
  <si>
    <t>Peça de Madeira 7,5x7,5</t>
  </si>
  <si>
    <t>Peça (m)</t>
  </si>
  <si>
    <t>700kg/m³</t>
  </si>
  <si>
    <t>Peça de Madeira 2,5x7,5</t>
  </si>
  <si>
    <t>Montagem e Fabricação VIGA (92448)</t>
  </si>
  <si>
    <t>Peça de Madeira 2,5x30</t>
  </si>
  <si>
    <t>Peça de Madeira 2,5x7,0</t>
  </si>
  <si>
    <t>Escoras 7,5x7,5cm</t>
  </si>
  <si>
    <t>Piso Porcelanato (87263)</t>
  </si>
  <si>
    <t>Porcelanato</t>
  </si>
  <si>
    <t>Porcelanato (m2)</t>
  </si>
  <si>
    <t>20,25kg/m²</t>
  </si>
  <si>
    <t xml:space="preserve"> Aplicação Manual de Tinta Acrilica (88489)</t>
  </si>
  <si>
    <t>Tinta Acrilica</t>
  </si>
  <si>
    <t>Tinta (L)</t>
  </si>
  <si>
    <t>1,5kg/l</t>
  </si>
  <si>
    <t>Lastro de Concreto (m³) (83534)</t>
  </si>
  <si>
    <t>Pedra</t>
  </si>
  <si>
    <t>Pedra (m3)</t>
  </si>
  <si>
    <t>Forma Tabua Fundação (5651)</t>
  </si>
  <si>
    <t>Peça de Madeira 7,5x7,5cm</t>
  </si>
  <si>
    <t>Peça de Madeira 2,5x5,0cm</t>
  </si>
  <si>
    <t>Tabua 2,5x30cm</t>
  </si>
  <si>
    <t>Massa Corida (88497)</t>
  </si>
  <si>
    <t>Massa Corrida PVA</t>
  </si>
  <si>
    <t>Massa Corrida (18L)</t>
  </si>
  <si>
    <t>31,7kg/18l</t>
  </si>
  <si>
    <t>Execução Bloco sextravado 25x25cm (92393)</t>
  </si>
  <si>
    <t>Tinta</t>
  </si>
  <si>
    <t>Po de Pedra</t>
  </si>
  <si>
    <t>Pó de Pedra (m³)</t>
  </si>
  <si>
    <t>kg/l</t>
  </si>
  <si>
    <t>Bloquete</t>
  </si>
  <si>
    <t>Bloquete (m2)</t>
  </si>
  <si>
    <t>115kg/m²</t>
  </si>
  <si>
    <t>Telhamento com telha de aço/aluminio (94213)</t>
  </si>
  <si>
    <t>Telha de aco zincada</t>
  </si>
  <si>
    <t>Telha (m2)</t>
  </si>
  <si>
    <t>3,79kg/m2</t>
  </si>
  <si>
    <t>Forma Tabua Fundação (92521)</t>
  </si>
  <si>
    <t>Chapa de Madeira Resinada</t>
  </si>
  <si>
    <t>5,87kg/m²</t>
  </si>
  <si>
    <t>Pastilha (89170)</t>
  </si>
  <si>
    <t>Pastilha 10x10cm</t>
  </si>
  <si>
    <t>Contrapiso (94439)</t>
  </si>
  <si>
    <t xml:space="preserve">Cimento </t>
  </si>
  <si>
    <t>Grade de Ferro (73932/001)</t>
  </si>
  <si>
    <t>Ferro</t>
  </si>
  <si>
    <t>Ferro (kg)</t>
  </si>
  <si>
    <t>Cantoneira</t>
  </si>
  <si>
    <t>Cantoneira (kg)</t>
  </si>
  <si>
    <t>Estrutura Metalica (92580)</t>
  </si>
  <si>
    <t>Perfil U</t>
  </si>
  <si>
    <t>Gradil (85096)</t>
  </si>
  <si>
    <t>Aluminio Adonizado</t>
  </si>
  <si>
    <t>Pedra de Mão</t>
  </si>
  <si>
    <t>Pedra de Mão (m³)</t>
  </si>
  <si>
    <t>Chapisco(m2) (87879)</t>
  </si>
  <si>
    <t>Lastro de Concreto (m³) (94990)</t>
  </si>
  <si>
    <t>Reboco (m³) (87547)</t>
  </si>
  <si>
    <t>Concreto Fck 20Mpa (m³) (94964)</t>
  </si>
  <si>
    <t>CA - 50A - 8,0 (92777)</t>
  </si>
  <si>
    <t>CA - 60A - 5,0 (92775)</t>
  </si>
  <si>
    <t>CA - 50A - 6,3 (92785)</t>
  </si>
  <si>
    <t>CA - 50A - 10 (92919)</t>
  </si>
  <si>
    <t>CA - 60A - 5,0 (92784)</t>
  </si>
  <si>
    <t>SINAPI</t>
  </si>
  <si>
    <t>Peso (Ton)</t>
  </si>
  <si>
    <t>Distância (Km)</t>
  </si>
  <si>
    <t>tonxkm</t>
  </si>
  <si>
    <t>Preço (R$)</t>
  </si>
  <si>
    <t>Materiais Transportaveis em Caminha Basculante</t>
  </si>
  <si>
    <t>Materiais Transportaveis em Caminha Carroceria</t>
  </si>
  <si>
    <t>Total (R$)</t>
  </si>
  <si>
    <t>ANEXO PB VIII   -   COMPOSIÇÕES DE CUSTOS AUXILIARES</t>
  </si>
  <si>
    <t xml:space="preserve">RETIRADA DE ÁRVORES </t>
  </si>
  <si>
    <t>UNID.=</t>
  </si>
  <si>
    <t xml:space="preserve"> (Secretaria de Obras Ceará - C1055)</t>
  </si>
  <si>
    <t>CÓD. SINAPI</t>
  </si>
  <si>
    <t>UN</t>
  </si>
  <si>
    <t>Servente</t>
  </si>
  <si>
    <t>h</t>
  </si>
  <si>
    <t>ESCAVAÇÃO MANUAL EM CAMPO ABERTO ATÉ 2M</t>
  </si>
  <si>
    <t>REATERRO COM COMPACTAÇÃO MANUAL</t>
  </si>
  <si>
    <t xml:space="preserve">PORTA SEMI-OCA, DIMENSÃO 1,6X2,10m PADRÃO POPULAR, ESPESSURA DE 3,5CM  ITENS INCLUSOS: DOBRADIÇAS, MONTAGEM E INSTALAÇÃO DO BATENTE, FECHADURA COM EXECUÇÃO DO FURO - FORNECIMENTO E INSTALAÇÃO. </t>
  </si>
  <si>
    <t>Und</t>
  </si>
  <si>
    <t>KIT DE PORTA DE MADEIRA PARA PINTURA, SEMI-OCA (LEVE OU MÉDIA), PADRÃO POPULAR, 80X210CM, ESPESSURA DE 3,5CM, ITENS INCLUSOS: DOBRADIÇAS, MONTAGEM E INSTALAÇÃO DO BATENTE, FECHADURA COM EXECUÇÃO DO FURO - FORNECIMENTO E INSTALAÇÃO.</t>
  </si>
  <si>
    <t>COMP. 05 -DPE</t>
  </si>
  <si>
    <t>PORTA DE VIDRO TEMPERADO, 1,60X2,10M, ESPESSURA 10MM, INCLUSIVE ACESSORIOS</t>
  </si>
  <si>
    <t>UNIDADE ==&gt;</t>
  </si>
  <si>
    <t>88325</t>
  </si>
  <si>
    <t>VIDRACEIRO COM ENCARGOS COMPLEMENTARES</t>
  </si>
  <si>
    <t>H</t>
  </si>
  <si>
    <t>3104</t>
  </si>
  <si>
    <t>JOGO DE FERRAGENS CROMADAS P/ PORTA DE VIDRO TEMPERADO, UMA FOLHA COMPOSTA: DOBRADICA SUPERIOR (101) E INFERIOR (103),TRINCO (502), FECHADURA (520),CONTRA FECHADURA (531),COM CAPUCHINHO</t>
  </si>
  <si>
    <t>CJ</t>
  </si>
  <si>
    <t>10507</t>
  </si>
  <si>
    <t>VIDRO TEMPERADO INCOLOR E = 10 MM, SEM COLOCACAO</t>
  </si>
  <si>
    <t>M2</t>
  </si>
  <si>
    <t>11499</t>
  </si>
  <si>
    <t>MOLA HIDRAULICA DE PISO P/ VIDRO TEMPERADO 10MM</t>
  </si>
  <si>
    <t>11523</t>
  </si>
  <si>
    <t>PUXADOR CONCHA LATAO CROMADO OU POLIDO P/ PORTA/JAN CORRER - 3 X 9CM</t>
  </si>
  <si>
    <t xml:space="preserve">FORRO </t>
  </si>
  <si>
    <t>Forro Modular em PVC 60x120cm, com todos os acessorios para fixação na laje</t>
  </si>
  <si>
    <t>RUFO EM CONCRETO L=30CM</t>
  </si>
  <si>
    <t>M</t>
  </si>
  <si>
    <t>C3652 Secretaria Ceará</t>
  </si>
  <si>
    <t>Servente com encargos complementares</t>
  </si>
  <si>
    <t>Pedreiro com encargos complementares</t>
  </si>
  <si>
    <t>Armador com encargos complementares</t>
  </si>
  <si>
    <t>Pedrisco</t>
  </si>
  <si>
    <t>Prego</t>
  </si>
  <si>
    <t>Areia Grossa</t>
  </si>
  <si>
    <t>Cimento Portland</t>
  </si>
  <si>
    <t>Desmoldante de forma</t>
  </si>
  <si>
    <t>l</t>
  </si>
  <si>
    <t>Arame Galvanizado</t>
  </si>
  <si>
    <t>Aço CA-50</t>
  </si>
  <si>
    <t>Chapa compensada resinada</t>
  </si>
  <si>
    <t>Lavatório para banheiro PNE</t>
  </si>
  <si>
    <t>LAVATÓRIO COM COLUNA</t>
  </si>
  <si>
    <t>00001381</t>
  </si>
  <si>
    <t>ARGAMASSA OU CIMENTO COLANTE EM PO PARA FIXACAO DE PECAS CERAMICAS</t>
  </si>
  <si>
    <t>01380</t>
  </si>
  <si>
    <t>Cimento branco</t>
  </si>
  <si>
    <t>036204</t>
  </si>
  <si>
    <t>Barra de apoio metal inox 60cm</t>
  </si>
  <si>
    <t>un</t>
  </si>
  <si>
    <t>011684</t>
  </si>
  <si>
    <t>ENGATE / RABICHO FLEXIVEL INOX 1/2 " X 40 CM</t>
  </si>
  <si>
    <t>036796</t>
  </si>
  <si>
    <t>Torneira para lavatório – 1/2”- temporizada</t>
  </si>
  <si>
    <t>000077</t>
  </si>
  <si>
    <t>Adaptador para sifão metálico</t>
  </si>
  <si>
    <t>006136</t>
  </si>
  <si>
    <t>Sifão inox para lavatório</t>
  </si>
  <si>
    <t>038643</t>
  </si>
  <si>
    <t>VALVULA EM METAL CROMADO PARA LAVATORIO, 1 "</t>
  </si>
  <si>
    <t>04351</t>
  </si>
  <si>
    <t>PARAFUSO NIQUELADO P/ FIXAR PECA SANITARIA - INCL PORCA CEGA, ARRUELA E BUCHA DE NYLON S-8</t>
  </si>
  <si>
    <t>Pedreiro</t>
  </si>
  <si>
    <t>Ajudante</t>
  </si>
  <si>
    <t>VASO SANITÁRIO PNE</t>
  </si>
  <si>
    <t>Bacia sanitária com caixa acoplada -cor branco</t>
  </si>
  <si>
    <t>000377</t>
  </si>
  <si>
    <t>Assento plástico</t>
  </si>
  <si>
    <t>001380</t>
  </si>
  <si>
    <t>036081</t>
  </si>
  <si>
    <t>Barra de apoio metal inox 80cm</t>
  </si>
  <si>
    <t>PARAFUSO NIQUELADO P/ FIXAR PECA SANITARIA - INCL PORCA CEGA, ARRUELA E BUCHA DE NYLON S-8, ANEL DE VEDAÇÃO</t>
  </si>
  <si>
    <t>SELANTE ELASTICO MONOCOMPONENTE A BASE DE POLIURETANO PARA JUNTAS DIVERSAS</t>
  </si>
  <si>
    <t>310ML</t>
  </si>
  <si>
    <t>PREGO DE ACO POLIDO COM CABECA 18 X 27 (2 1/2 X 10)</t>
  </si>
  <si>
    <t>KG</t>
  </si>
  <si>
    <t>REBITE DE ALUMINIO VAZADO DE REPUXO, 3,2 X 8 MM (1KG = 1025 UNIDADES)</t>
  </si>
  <si>
    <t>SOLDA EM BARRA DE ESTANHO-CHUMBO 50/50</t>
  </si>
  <si>
    <t>CALHA QUADRADA DE CHAPA DE ACO GALVANIZADA NUM 24, CORTE 133 CM (COLETADO CAIXA)</t>
  </si>
  <si>
    <t>SERVENTE COM ENCARGOS COMPLEMENTARES</t>
  </si>
  <si>
    <t>TELHADISTA COM ENCARGOS COMPLEMENTARES</t>
  </si>
  <si>
    <t>GUINCHO ELÉTRICO DE COLUNA, CAPACIDADE 400 KG, COM MOTO FREIO, MOTOR TRIFÁSICO DE 1,25 CV - CHP DIURNO. AF_03/2016</t>
  </si>
  <si>
    <t>CHP</t>
  </si>
  <si>
    <t>GUINCHO ELÉTRICO DE COLUNA, CAPACIDADE 400 KG, COM MOTO FREIO, MOTOR TRIFÁSICO DE 1,25 CV - CHI DIURNO. AF_03/2016</t>
  </si>
  <si>
    <t>CHI</t>
  </si>
  <si>
    <t>40871+40870</t>
  </si>
  <si>
    <t>LUMINÁRIA EMERGÊNCIA 60 LEDS</t>
  </si>
  <si>
    <t>0038774</t>
  </si>
  <si>
    <t>LUMINÁRIA  EMERGÊNCIA 60 LEDS</t>
  </si>
  <si>
    <t>FITA ISOLANTE -19mmx5m</t>
  </si>
  <si>
    <t>ROLO</t>
  </si>
  <si>
    <t>Eletricista</t>
  </si>
  <si>
    <t>Luminária embutir com aletas T8/T10 2x32x36x40W</t>
  </si>
  <si>
    <t>Lampada Tubular LED 18W</t>
  </si>
  <si>
    <t>Eletricista com encargos complementares</t>
  </si>
  <si>
    <t>Luminária sobrepor com aletas T8/T10 2x32x36x40W</t>
  </si>
  <si>
    <t>73769/002</t>
  </si>
  <si>
    <t>Poste de aço conico contínuo curvo simples, flangeado, com janela de inspeção h=9m -fornecimento e instalacao</t>
  </si>
  <si>
    <t>74231/001</t>
  </si>
  <si>
    <t>Luminária aberta para iluminação publica, para lampada a vapor de mercurio ate 400w e mista ate 500w, com braco em tubo de aco galv d=50mm proj hor=2.500mm e proj vert= 2.200mm, fornecimento e instalacao</t>
  </si>
  <si>
    <t>Lâmpada vapor metalico ovoide 150 w, base e27/e40</t>
  </si>
  <si>
    <t>Reator interno/integrado para lampada vapor metalico 400 w, alto fator de potencia</t>
  </si>
  <si>
    <t>Auxiliar de eletricista com encargos complementares</t>
  </si>
  <si>
    <t>73769/003</t>
  </si>
  <si>
    <t>Poste de aço conico contínuo curvo duplo, flangeado, com janela de inspeção h=9m -fornecimento e instalacao</t>
  </si>
  <si>
    <t>Caixa octogonal 4"x 4", pvc, instalada em laje - fornecimento e instalação.</t>
  </si>
  <si>
    <t>Caixa octogonal de fundo móvel, em PVC, de 4"x4", para eletroduto flexivel corrugado</t>
  </si>
  <si>
    <t>Haste de aterramento em aco com 2,40 m de comprimento e dn = 5/8", revestida com baixa camada de cobre, sem conector</t>
  </si>
  <si>
    <t>Grampo metálico tipo olhal para haste de aterramento de 5/8'', condutor de10 a 50 mm²</t>
  </si>
  <si>
    <t>Caixa inspecao em concreto para aterramento e para raios diametro = 300 mm</t>
  </si>
  <si>
    <t>Disjuntor tipo DIN/IEC, tripolar corrente nominal de 100A</t>
  </si>
  <si>
    <t>Terminal a compressao em cobre estanhado para cabo 70mm², 1 furo e 1 compressao, para parafuso de fixacao m10</t>
  </si>
  <si>
    <t>COMP. 21 - DPE</t>
  </si>
  <si>
    <t>Dispositivo DR, 2 polos, sensibilidade de 30 mA, corrente de 40A, tipo AC</t>
  </si>
  <si>
    <t>Terminal a compressao em cobre estanhado para cabo 4mm², 1 furo e 1 compressao, para parafuso de fixacao m5</t>
  </si>
  <si>
    <t>Dispositivo DPS classe II, 1 polo, tensão máxima de 175 V, corrente maxima de 45kA (tipo AC)</t>
  </si>
  <si>
    <t>Parafuso zincado, sextavado, com rosca inteira, diametro 5/8", comprimento 3", com porca e arruela de pressao media</t>
  </si>
  <si>
    <t>Arruela quadrada em aco galvanizado, dimensao = 38 mm, espessura = 3mm, diametro do furo= 18 mm</t>
  </si>
  <si>
    <t>Cabo de cobre, flexivel, classe 4 ou 5, isolacao em pvc/a, antichama bwf-b, cobertura pvc-st1, antichama bwf-b, 1 condutor, 0,6/1 kv, secao nominal 16 mm2</t>
  </si>
  <si>
    <t>Cabo de cobre, flexivel, classe 4 ou 5, isolacao em pvc/a, antichama bwf-b, cobertura pvc-st1, antichama bwf-b, 1 condutor, 0,6/1 kv, secao nominal 35 mm2</t>
  </si>
  <si>
    <t>Armação vertical com haste e contra-pino, em chapa de aço galvanizado 3/16", com 1 estribo e 1 isolador</t>
  </si>
  <si>
    <t xml:space="preserve">Disjuntor tripolar tipo DIN, corrente nominal de 100A </t>
  </si>
  <si>
    <t>Eletroduto de pvc rigido roscavel de 1 1/2" , sem luva</t>
  </si>
  <si>
    <t>Luva em pvc rigido roscavel, de 1 1/2", para eletroduto</t>
  </si>
  <si>
    <t>Isolador de porcelana, tipo roldana, dimensoes de *72* x *72* mm, para uso em baixa tensao</t>
  </si>
  <si>
    <t xml:space="preserve">Poste de concreto duplo T, 200 kgf, h = 7 m </t>
  </si>
  <si>
    <t>Caixa de medição, para medição direta, padrão Eletrobrás Distribuição Roraima</t>
  </si>
  <si>
    <t xml:space="preserve">Tomada média de embutir (1 módulo), RJ-45 Cat5e, incluindo suporte e placa (4" x 2") - fornecimento e instalação. </t>
  </si>
  <si>
    <t>Suporte parafusado com placa de encaixe 4" x 2" médio (1,30 m do piso) para ponto elétrico - fornecimento e instalação. Af_12/2015</t>
  </si>
  <si>
    <t>Tomada RJ45, 8 fios, cat 5e (apenas modulo)</t>
  </si>
  <si>
    <t>Suporte parafusado com placa de encaixe 4" x 2" baixo (0,30 m do piso) para ponto elétrico - fornecimento e instalação. Af_12/2015</t>
  </si>
  <si>
    <t xml:space="preserve">Tomada baixa de embutir (3 módulos), RJ-45 Cat5e, incluindo suporte e placa (4" x 4") - fornecimento e instalação. </t>
  </si>
  <si>
    <t>Suporte parafusado com placa de encaixe 4" x 4" baixo (0,30 m do piso) para ponto elétrico - fornecimento e instalação. Af_12/2015</t>
  </si>
  <si>
    <t xml:space="preserve">Tomada baixa de embutir (4 módulos), RJ-45 Cat5e, incluindo suporte e placa (4" x 4") - fornecimento e instalação. </t>
  </si>
  <si>
    <t>Redução para Eletrocalha Perfurada (75 x 50)mm, com fornecimento e instalação.</t>
  </si>
  <si>
    <t>ELETRICISTA COM ENCARGOS COMPLEMENTARES</t>
  </si>
  <si>
    <t>AUXILIAR DE ELETRICISTA COM ENCARGOS
COMPLEMENTARES</t>
  </si>
  <si>
    <t>REDUÇÃO EM CHAPA DE AÇO GALVANIZADO
(75X50) X ALTURA 50MM</t>
  </si>
  <si>
    <t>TALA PARA EMENDA DE ELETROCALHA PERFURADA</t>
  </si>
  <si>
    <t>PARAFUSO CABEÇA LENTILHA ¼” X ¾”</t>
  </si>
  <si>
    <t>ARRUELA SIMPLES ¼”</t>
  </si>
  <si>
    <t>PORCA SEXTAVADA ¼”</t>
  </si>
  <si>
    <t>ELETROCALHA PERFURADA EM CHAPA DE
AÇO GALVANIZADO, 50x50x3000 mm</t>
  </si>
  <si>
    <t>FIXAÇÃO DE TUBOS HORIZONTAIS DE COBRE DIÂMETROS    ≤ 40MM OU ELETROCALHAS ATÉ 150MM DE LARGURA,
COM ABRAÇADEIRA METÁLICA RÍGIDA TIPO D 1/2”,
FIXADA DIRETAMENTE NA LAJE</t>
  </si>
  <si>
    <t>ELETROCALHA PERFURADA EM CHAPA DE
AÇO GALVANIZADO,75x50 MM</t>
  </si>
  <si>
    <t>TE horizontal 90º para Eletrocalha Perfurada em Aço Galvanizado 75x50mm, fornecimento e instalação.</t>
  </si>
  <si>
    <t>TÊ HORIZONTAL 90° PARA ELETROCALHA EM
CHAPA DE AÇO GALVANIZADO 75X50MM</t>
  </si>
  <si>
    <t>Cotovelo Reto 90º para Eletrocalha Perfurada em Aço Galvanizado 50x50mm, fornecimento e instalação.</t>
  </si>
  <si>
    <t>COTOVELO RETO 90° PARA ELETROCALHA EM
CHAPA DE AÇO GALVANIZADO 50X50MM</t>
  </si>
  <si>
    <t>COTAÇÃO 012</t>
  </si>
  <si>
    <t>COTAÇÃO 013</t>
  </si>
  <si>
    <t>COTAÇÃO 014</t>
  </si>
  <si>
    <t>COTAÇÃO 015</t>
  </si>
  <si>
    <t>CURVA DE INVERSÃO ELETROCALHA EM
CHAPA DE AÇO GALVANIZADO 75X50MM</t>
  </si>
  <si>
    <t>Terminal para Eletrocalha Perfurada em Aço Galvanizado 50mm.</t>
  </si>
  <si>
    <t>TERMINAL PARA ELETROCALHA EM
CHAPA DE AÇO GALVANIZADO 50MM</t>
  </si>
  <si>
    <t>DERIVAÇÃO PARA ELETRODUDTO 3/4" PARA ELETROCALHA EM CHAPA DE AÇO GALVANIZADO</t>
  </si>
  <si>
    <t>Eletroduto em aco galvanizado eletrolitico, semi-pesado, diametro 2", parede de 1,20 mm</t>
  </si>
  <si>
    <t>Fixação de tubos horizontais de pvc, cpvc ou cobre diâmetros maiores que 40 mm e menores ou iguais a 75 mm com abraçadeira metálica rígida tipo d 1 1/2", fixada em perfilado em laje. Af_05/2015</t>
  </si>
  <si>
    <t>PISO TÁTIL DIRECIONAL / ALERTA – ÁREAS INTERNAS OU EXTERNAS</t>
  </si>
  <si>
    <t>00038181</t>
  </si>
  <si>
    <t>PISO TATIL DE ALERTA DE BORRACHA, 25 X 25 CM, E = 12 MM, PARA ARGAMASSA, CORES</t>
  </si>
  <si>
    <t>87620</t>
  </si>
  <si>
    <t>ARGAMASSA 1:4  CIMENTO + AREIA –  ESP. 2 a 3cm</t>
  </si>
  <si>
    <t>88262</t>
  </si>
  <si>
    <t>Montador</t>
  </si>
  <si>
    <t>LIGAÇÃO DEFINITIVA DE ÁGUA</t>
  </si>
  <si>
    <t>ENCANADOR OU BOMBEIRO HIDRÁULICO COM ENCARGOS COMPLEMENTARES</t>
  </si>
  <si>
    <t>LIGAÇÃO DEFINITIVA DE ENERGIA</t>
  </si>
  <si>
    <t>DESPESAS DE TRANSPORTE DE MATERIAL PARA O CANTEIRO</t>
  </si>
  <si>
    <t>Materiais Diversos Caminhão Basculante</t>
  </si>
  <si>
    <t>Materiais Diversos Caminhão Carroceria</t>
  </si>
  <si>
    <t>OBS: Verificar memória de cálculo</t>
  </si>
  <si>
    <t>ADMINISTRAÇÃO LOCAL DA OBRA</t>
  </si>
  <si>
    <t>Engenheiro ou Arquiteto com encargos complementares              2 vezes/semana x 3 horas/dia x 7 meses</t>
  </si>
  <si>
    <t>Mestre de Obras com encargos complementares - 40horas x 4semanas x 7meses</t>
  </si>
  <si>
    <t>mês</t>
  </si>
  <si>
    <t>Vigia noturno com encargos complementares  - 40horas x 4semanas x 7meses</t>
  </si>
  <si>
    <t>ANEXO PB VII - COTAÇÃO</t>
  </si>
  <si>
    <t>INSTALAÇÃO ELÉTRICA</t>
  </si>
  <si>
    <t>COTAÇÃO 001</t>
  </si>
  <si>
    <t>1ª Empresa</t>
  </si>
  <si>
    <t>2ª Empresa</t>
  </si>
  <si>
    <t>3ª Empresa</t>
  </si>
  <si>
    <t>LM SGUARIO E SILVA &amp; CIA LTDA    CNPJ: 05.950.456/0001-36 End.: Glaycon de Paiva, 2609 - São Vicente - CEP: 69.303-340 - BOA VISTA/RR</t>
  </si>
  <si>
    <t>VIMEZER FORNC. DE SERV. LTDA    CNPJ: 10.159.093/0002-36  End.: Av. São Sebastião, 1647 - Santa Tereza - CEP: 69.312-318 - BOA VISTA/RR</t>
  </si>
  <si>
    <t>M.I. Revestimentos Ltda. CNPJ 10.490.181/0001-35. Endereço: Rua Marechal Deodoro, nº 717, 3º/4º/5º andares, Bairro Centro, Curitiba, Paraná.
CEP 80020-320</t>
  </si>
  <si>
    <t>MEDIANA (R$)</t>
  </si>
  <si>
    <t>Luminária embutir com aletas T8/T10 2x32/36/40W - fornecimento e instalação.</t>
  </si>
  <si>
    <t>COTAÇÃO 002</t>
  </si>
  <si>
    <t>4ª Empresa</t>
  </si>
  <si>
    <t>CASA DO ELETRICISTA COM. E CONST. LTDA    CNPJ: 84.012.418/0001-09 End.: Av. Venezuela, 2127 - Liberdade - CEP: 69.309-005 - BOA VISTA/RR</t>
  </si>
  <si>
    <t>BRASMOL - COM. SERV. IMP. E EXP. LTDA    CNPJ: 13.085.476/0001-14  End.: Av. Surumu, 2099 - Mecejana - CEP: 69.304-555 BOA VISTA/RR</t>
  </si>
  <si>
    <t>Luminária sobrepor com aletas T8/T10 2x32/36/40W.</t>
  </si>
  <si>
    <t>COTAÇÃO 003</t>
  </si>
  <si>
    <t>CASTELÃO COM. MAT. DE CONST. LTDA   CNPJ:01.268.775/0001-05 End.: Mário H. de Melo, 5088 - Caimbé - CEP: 69.312-000 BOA VISTA/RR</t>
  </si>
  <si>
    <t>BRASFERRO - COM. IND. IMP. E EXP. LTDA    CNPJ: 84.054.329/0001-25 End.: Glaycon de Paiva, 2304 - Pricumã - CEP: 69.309-695  BOA VISTA/RR</t>
  </si>
  <si>
    <t xml:space="preserve">Lâmpada tubular de LED T8 18W </t>
  </si>
  <si>
    <t>COTAÇÃO 004</t>
  </si>
  <si>
    <t>Lâmpada de LED E27, Potência 40W.</t>
  </si>
  <si>
    <t>COTAÇÃO 005</t>
  </si>
  <si>
    <t>Lâmpada pequena de LED E27, Potência 15W.</t>
  </si>
  <si>
    <t>COTAÇÃO 006</t>
  </si>
  <si>
    <t>Poste decorativo pintado, tipo com luminária, H=2440mm, potência até 40W, sem lâmpada. Tipo de lâmpada a ser usada: LED E27.</t>
  </si>
  <si>
    <t>COTAÇÃO 007</t>
  </si>
  <si>
    <t>LOJA ELETRICA LIMITADA 
Av. Santos Dumont, 402
Bairro: Centro
CEP: 30.111-040 - Belo Horizonte/MG
Tel:  (31) 3273-1000
CNPJ: 17.155.342/0001-83</t>
  </si>
  <si>
    <t>Arandela retangular em aço e vidro. Dimensões: 190mm x 120mm x 95mm. Soquete E27, sem lâmpada.</t>
  </si>
  <si>
    <t>COTAÇÃO 008</t>
  </si>
  <si>
    <t>COTAÇÃO 009</t>
  </si>
  <si>
    <t>PREMOL INDUSTRIA, COMERCIO E SERVIÇO LTDA - CNPJ: 01.653.995/0001-52, Rua: Jorge cacapava nº100, Distrito Industrial - BOA VISTA/RR</t>
  </si>
  <si>
    <t>Poste de concreto duplo T, 200 kgf, h = 7 m</t>
  </si>
  <si>
    <t>COTAÇÃO 010</t>
  </si>
  <si>
    <t>COTAÇÃO 011</t>
  </si>
  <si>
    <t>Luminária de piso, LED, 10W.</t>
  </si>
  <si>
    <t>MAXTIL - CNPJ.: 07.265.878/0003-60 - Unidade Fabril São Paulo - Rua Rosa Mafei, 445 – Bonsucesso – Cep: 07177-110 – Guarulhos - SP - Tel. (11) 2631-9090</t>
  </si>
  <si>
    <t xml:space="preserve">PERFIL DUTO - Rua Elizabeth Koller, 201 – Itupeva- SP - Cep: 13295-000 -  Telefone de contato: (11) 4230-1860 (11) 4230-1866, comercial@perfilduto.com.br </t>
  </si>
  <si>
    <t>Redução em aço galvanizado 75mm x 50mm.</t>
  </si>
  <si>
    <t>Tala perfurada para emenda de eletrocalha  em aço galvanizado 50mm.</t>
  </si>
  <si>
    <t>Parafuso Cabeça lentilha, 1/4pol x 3/4pol.</t>
  </si>
  <si>
    <t>Arruela simples 1/4pol.</t>
  </si>
  <si>
    <t>COTAÇÃO 016</t>
  </si>
  <si>
    <t>Porca sextavada 1/4pol.</t>
  </si>
  <si>
    <t>COTAÇÃO 017</t>
  </si>
  <si>
    <t>REAL PERFIL INDÚSTRIA E COMÉRCRIO LTDA - CNPJ: 69.179.448/0001-10
Av. Nossa Senhora do Ó, 955 - B. Limão - São Paulo/SP - Cep. 02715-000
Fone (11) 2134-0002 
email:vendas@realperfil.com.br</t>
  </si>
  <si>
    <t>Eletrocalha perfurada 75mm x 50mm x 3000m</t>
  </si>
  <si>
    <t>COTAÇÃO 018</t>
  </si>
  <si>
    <t xml:space="preserve">PERFIL DUTO - CNPJ: 10.714.334/0001-80- Rua Elizabeth Koller, 201 – Itupeva- SP - Cep: 13295-000 -  Telefone de contato: (11) 4230-1860 (11) 4230-1866, comercial@perfilduto.com.br </t>
  </si>
  <si>
    <t>Eletrocalha perfurada 50mm x 50mm x 3000m</t>
  </si>
  <si>
    <t>COTAÇÃO 019</t>
  </si>
  <si>
    <t>T horizontal 90° para eletrocalha 75mm x 50mm.</t>
  </si>
  <si>
    <t>COTAÇÃO 020</t>
  </si>
  <si>
    <t>T horizontal 90° para eletrocalha 50mm x 50mm.</t>
  </si>
  <si>
    <t>COTAÇÃO 021</t>
  </si>
  <si>
    <t>Cotovelo Reto 90° 50mm x 50mm.</t>
  </si>
  <si>
    <t>COTAÇÃO 022</t>
  </si>
  <si>
    <t>Cotovelo Reto 90° 75mm x 50mm.</t>
  </si>
  <si>
    <t>COTAÇÃO 023</t>
  </si>
  <si>
    <t>Curva de inversão 75mm x 50mm.</t>
  </si>
  <si>
    <t>COTAÇÃO 024</t>
  </si>
  <si>
    <t>Terminal para elerocalha.</t>
  </si>
  <si>
    <t>COTAÇÃO 025</t>
  </si>
  <si>
    <t>Derivação de eletrocalha para eletroduto, 3/4 pol.</t>
  </si>
  <si>
    <t>ITENS DIVERSOS</t>
  </si>
  <si>
    <t>COTAÇÃO 026</t>
  </si>
  <si>
    <t>Alumínio Boa Vista LTDA-ME CNPJ:09.379.251/0001-01 End.: Av. São Sebastião, 1745 - Santa Tereza - CEP: 69314-152 - VALOR SÓ INSUMO + MÃO DE OBRA COMPOSIÇÃO 96115</t>
  </si>
  <si>
    <t>Gauger e Alves LTDA-ME CNPJ: 11.950.993/0001-89 End.: Av. São Sebastião, 1426 - Tancredo Neves - CEP: 69313-495 - VALOR INSUMO E MÃO DE OBRA</t>
  </si>
  <si>
    <t>Forro Modular em PVC 60x120cm, com estrutura de fixação em Laje</t>
  </si>
  <si>
    <t>NOROESTE MANAUS, CNPJ: 18.918.142/0001-06, Av. Efigênio Sales nº 1800, Aleixo - Manaus (AM), Fone: 92-3303-9650 E-mail: marcos.silva@noroeste-am.com.br</t>
  </si>
  <si>
    <t>STEMAC S/A GRUPOS GERADORES, MANAUS/AM, CNPJ: 92.753.268/0014-37 Av. Tefe nº 2573 Complemento A, Bairro: Raiz Fone: 92-2123-8200 E-mail: manaus@stemac.com.br</t>
  </si>
  <si>
    <t>GENESyS SERVIÇOS E COMÉRCIO DE MATERIAIS ELÉTRICOS LTDA CNPJ: 12.114.056/0001-56, Matriz: Av. Nathan Xavier de Albuquerque, 1327, Lote Aguas Claras, Novo Aleixo, Manaus/AM, Fone: 92-3025-3804</t>
  </si>
  <si>
    <t>Público Color, Boa Vista, CNPJ: 34.804.062/0001-78, Av. Mario Homem de Melo, 1355 Mecejana CEP: 69304-350.  Telefone: (95) - 3224-6952 ou 99125-9067</t>
  </si>
  <si>
    <t>MGM gráfica, Boa Vista - RR, CNPJ: 04.948.442/0001-1, Av. Santos Dumont, nº 948. Telefone: (95) - 3224-2417</t>
  </si>
  <si>
    <r>
      <rPr>
        <sz val="12"/>
        <color theme="1"/>
        <rFont val="Times New Roman"/>
        <charset val="134"/>
      </rPr>
      <t>Quei</t>
    </r>
    <r>
      <rPr>
        <sz val="12"/>
        <rFont val="Times New Roman"/>
        <charset val="134"/>
      </rPr>
      <t xml:space="preserve">roz Gráfica e Comunicação Visual, 
CNPJ: 12.217.353/0001-27, Rua: Cecília Brasil, 767 - </t>
    </r>
    <r>
      <rPr>
        <sz val="12"/>
        <color theme="1"/>
        <rFont val="Times New Roman"/>
        <charset val="134"/>
      </rPr>
      <t>Centro. Telefone (95) 3623-3975</t>
    </r>
  </si>
  <si>
    <t>PLACA DA DEFENSORIA COM LETRAS ESCRITA "DEFENSORIA PÚBLICA DO ESTADO DE RORAIMA - BONFIM"</t>
  </si>
  <si>
    <t>ANEXO PB IX / A – CALCULO BDI</t>
  </si>
  <si>
    <t>COMPOSIÇÃO ANALÍTICA DO BDI - Construção de Edificação</t>
  </si>
  <si>
    <t>DISCRIMINIAÇÃO</t>
  </si>
  <si>
    <t>Índices</t>
  </si>
  <si>
    <t>ÍNDICE ADOTADO</t>
  </si>
  <si>
    <t>1º quartil</t>
  </si>
  <si>
    <t>médio</t>
  </si>
  <si>
    <t>3º quartil</t>
  </si>
  <si>
    <t>X</t>
  </si>
  <si>
    <t>Administração Central</t>
  </si>
  <si>
    <t>Seguro e Garantia</t>
  </si>
  <si>
    <t>Risco</t>
  </si>
  <si>
    <t>Y</t>
  </si>
  <si>
    <t>Despesas Financeiras</t>
  </si>
  <si>
    <t>Z</t>
  </si>
  <si>
    <t>Lucro</t>
  </si>
  <si>
    <t>Tributos (totais)</t>
  </si>
  <si>
    <t>COFINS</t>
  </si>
  <si>
    <t>PIS</t>
  </si>
  <si>
    <t>ISS</t>
  </si>
  <si>
    <t>CPRB</t>
  </si>
  <si>
    <t xml:space="preserve"> % DE BDI A SER UTILIZADO =</t>
  </si>
  <si>
    <t>LEGENDA</t>
  </si>
  <si>
    <t>FÓRMULA PARA CÁLCULO DO BDI</t>
  </si>
  <si>
    <t>X =</t>
  </si>
  <si>
    <t>Despesas indiretas (exceto tributos e despesas financeiras)</t>
  </si>
  <si>
    <t>Y =</t>
  </si>
  <si>
    <t>Despesas financeiras</t>
  </si>
  <si>
    <t>Z =</t>
  </si>
  <si>
    <t>I =</t>
  </si>
  <si>
    <t>Taxa representativa da incidência de impostos</t>
  </si>
  <si>
    <t>BDI=</t>
  </si>
  <si>
    <t>(1+X)     x</t>
  </si>
  <si>
    <t>(1+Y)    x</t>
  </si>
  <si>
    <t>(1+Z)</t>
  </si>
  <si>
    <t>-1</t>
  </si>
  <si>
    <t>(1 - I)</t>
  </si>
  <si>
    <t>- 1</t>
  </si>
  <si>
    <r>
      <rPr>
        <b/>
        <i/>
        <sz val="12"/>
        <color rgb="FF000000"/>
        <rFont val="Times New Roman"/>
        <charset val="134"/>
      </rPr>
      <t xml:space="preserve">Obs: Os valores máximos e mínimos foram adotados conforme orientação do </t>
    </r>
    <r>
      <rPr>
        <b/>
        <i/>
        <sz val="12"/>
        <color rgb="FF0000FF"/>
        <rFont val="Times New Roman"/>
        <charset val="134"/>
      </rPr>
      <t>ACÓRDÃO 2622/2013 – TCU – Plenário</t>
    </r>
    <r>
      <rPr>
        <b/>
        <i/>
        <sz val="12"/>
        <color rgb="FF000000"/>
        <rFont val="Times New Roman"/>
        <charset val="134"/>
      </rPr>
      <t>.</t>
    </r>
  </si>
  <si>
    <t xml:space="preserve">     *Fórmula orientada pelo Tribunal de Contas da União para o cálculo final do BDI</t>
  </si>
  <si>
    <t xml:space="preserve">     **Caso a empresa seja optante pelo Simples Nacional colocar os encargos conforme seu cadastramento no sistema e comprovar essa faixa utilizada para a Administração</t>
  </si>
  <si>
    <t>ANEXO PB IX / B – CALCULO BDI DIFERENCIADO</t>
  </si>
  <si>
    <t>COMPOSIÇÃO ANALÍTICA DO BDI DIFERENCIADO - Construção de Edificação</t>
  </si>
  <si>
    <t>ANEXO PB IX / C – ENCARGOS SOCIAIS</t>
  </si>
  <si>
    <t>HORISTA 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</si>
  <si>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</si>
  <si>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</si>
  <si>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</si>
  <si>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</si>
  <si>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</si>
  <si>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</si>
  <si>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</si>
  <si>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</si>
  <si>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</si>
  <si>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</si>
  <si>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</si>
  <si>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</si>
  <si>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</si>
  <si>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</si>
  <si>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</si>
  <si>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</si>
  <si>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</si>
  <si>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</si>
  <si>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</si>
  <si>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</si>
  <si>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</si>
  <si>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GRUPO B</t>
  </si>
  <si>
    <t>B1</t>
  </si>
  <si>
    <t>Repouso Semanal Remunerado</t>
  </si>
  <si>
    <t>B2</t>
  </si>
  <si>
    <t>Feriados</t>
  </si>
  <si>
    <t>B3</t>
  </si>
  <si>
    <t>Auxílio Enfermidade</t>
  </si>
  <si>
    <t>B4</t>
  </si>
  <si>
    <t>13º Salário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</si>
  <si>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</si>
  <si>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</si>
  <si>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</si>
  <si>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</si>
  <si>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</si>
  <si>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</si>
  <si>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</si>
  <si>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</si>
  <si>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</si>
  <si>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</si>
  <si>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</si>
  <si>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</si>
  <si>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</si>
  <si>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</si>
  <si>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</si>
  <si>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</si>
  <si>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</si>
  <si>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</si>
  <si>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</si>
  <si>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</si>
  <si>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</si>
  <si>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</si>
  <si>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</si>
  <si>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</si>
  <si>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</si>
  <si>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</si>
  <si>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</si>
  <si>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</si>
  <si>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</si>
  <si>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de FGTS sobre Aviso Prévio Indenizado</t>
  </si>
  <si>
    <t>D</t>
  </si>
  <si>
    <t>TOTAL (A+B+C+D) - %</t>
  </si>
  <si>
    <t>Obs: Caso a empresa seja optante pelo Simples Nacional colocar os encargos conforme seu cadastramento no sistema e comprovar essa faixa utilizada para a Administração</t>
  </si>
</sst>
</file>

<file path=xl/styles.xml><?xml version="1.0" encoding="utf-8"?>
<styleSheet xmlns="http://schemas.openxmlformats.org/spreadsheetml/2006/main">
  <numFmts count="21">
    <numFmt numFmtId="43" formatCode="_(* #,##0.00_);_(* \(#,##0.00\);_(* &quot;-&quot;??_);_(@_)"/>
    <numFmt numFmtId="176" formatCode="0.00_ "/>
    <numFmt numFmtId="44" formatCode="_(&quot;$&quot;* #,##0.00_);_(&quot;$&quot;* \(#,##0.00\);_(&quot;$&quot;* &quot;-&quot;??_);_(@_)"/>
    <numFmt numFmtId="177" formatCode="&quot; R$&quot;#,##0.00&quot; &quot;;&quot; R$(&quot;#,##0.00&quot;)&quot;;&quot; R$-&quot;#&quot; &quot;;@&quot; &quot;"/>
    <numFmt numFmtId="178" formatCode="#,##0.00000"/>
    <numFmt numFmtId="179" formatCode="#,##0.00&quot; &quot;;&quot; (&quot;#,##0.00&quot;)&quot;;&quot;-&quot;#&quot; &quot;;@&quot; &quot;"/>
    <numFmt numFmtId="180" formatCode="&quot;R$&quot;\ #,##0.00"/>
    <numFmt numFmtId="181" formatCode="&quot;( &quot;#,##0.00000&quot;)&quot;"/>
    <numFmt numFmtId="42" formatCode="_(&quot;$&quot;* #,##0_);_(&quot;$&quot;* \(#,##0\);_(&quot;$&quot;* &quot;-&quot;_);_(@_)"/>
    <numFmt numFmtId="182" formatCode="&quot;(1 + &quot;#,##0.00000&quot;)&quot;"/>
    <numFmt numFmtId="183" formatCode="_ * #,##0_ ;_ * \-#,##0_ ;_ * &quot;-&quot;_ ;_ @_ "/>
    <numFmt numFmtId="184" formatCode="_-* #,##0.00_-;\-* #,##0.00_-;_-* &quot;-&quot;??_-;_-@_-"/>
    <numFmt numFmtId="185" formatCode="&quot;R$&quot;#,##0.00"/>
    <numFmt numFmtId="186" formatCode="0.000"/>
    <numFmt numFmtId="187" formatCode="0.000%"/>
    <numFmt numFmtId="188" formatCode="0.0000"/>
    <numFmt numFmtId="189" formatCode="#,##0.000"/>
    <numFmt numFmtId="190" formatCode="#,##0.0000"/>
    <numFmt numFmtId="191" formatCode="&quot;( &quot;#,##0.00000&quot;) x&quot;"/>
    <numFmt numFmtId="192" formatCode="&quot;(1 + &quot;#,##0.00000&quot;) x&quot;"/>
    <numFmt numFmtId="193" formatCode="&quot;(1 - &quot;#,##0.00000&quot;)&quot;"/>
  </numFmts>
  <fonts count="75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sz val="13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2"/>
      <color rgb="FFFFFFFF"/>
      <name val="Times New Roman"/>
      <charset val="134"/>
    </font>
    <font>
      <sz val="12"/>
      <color rgb="FF000000"/>
      <name val="Times New Roman"/>
      <charset val="134"/>
    </font>
    <font>
      <b/>
      <i/>
      <sz val="12"/>
      <color rgb="FF000000"/>
      <name val="Times New Roman"/>
      <charset val="134"/>
    </font>
    <font>
      <sz val="11"/>
      <color rgb="FF800000"/>
      <name val="Times New Roman"/>
      <charset val="134"/>
    </font>
    <font>
      <sz val="12"/>
      <color theme="1"/>
      <name val="Calibri"/>
      <charset val="134"/>
      <scheme val="minor"/>
    </font>
    <font>
      <b/>
      <sz val="12"/>
      <name val="Times New Roman"/>
      <charset val="134"/>
    </font>
    <font>
      <sz val="12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2"/>
      <color theme="1"/>
      <name val="Calibri"/>
      <charset val="134"/>
      <scheme val="minor"/>
    </font>
    <font>
      <sz val="9"/>
      <color theme="1"/>
      <name val="Arial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sz val="9"/>
      <name val="Arial"/>
      <charset val="134"/>
    </font>
    <font>
      <sz val="10"/>
      <color indexed="8"/>
      <name val="Times New Roman"/>
      <charset val="134"/>
    </font>
    <font>
      <sz val="9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sz val="8"/>
      <color theme="1"/>
      <name val="Times New Roman"/>
      <charset val="134"/>
    </font>
    <font>
      <b/>
      <sz val="8"/>
      <name val="Times New Roman"/>
      <charset val="134"/>
    </font>
    <font>
      <sz val="8"/>
      <color rgb="FF000000"/>
      <name val="Times New Roman"/>
      <charset val="134"/>
    </font>
    <font>
      <sz val="8"/>
      <name val="Times New Roman"/>
      <charset val="134"/>
    </font>
    <font>
      <b/>
      <sz val="8"/>
      <color rgb="FF000000"/>
      <name val="Times New Roman"/>
      <charset val="134"/>
    </font>
    <font>
      <b/>
      <sz val="9"/>
      <color rgb="FF000000"/>
      <name val="Times New Roman"/>
      <charset val="134"/>
    </font>
    <font>
      <b/>
      <sz val="9"/>
      <color theme="1"/>
      <name val="Times New Roman"/>
      <charset val="134"/>
    </font>
    <font>
      <b/>
      <sz val="8"/>
      <color rgb="FFFF0000"/>
      <name val="Times New Roman"/>
      <charset val="134"/>
    </font>
    <font>
      <sz val="11"/>
      <name val="Times New Roman"/>
      <charset val="134"/>
    </font>
    <font>
      <sz val="8"/>
      <color rgb="FFFF0000"/>
      <name val="Times New Roman"/>
      <charset val="134"/>
    </font>
    <font>
      <b/>
      <sz val="10"/>
      <color theme="1"/>
      <name val="Times New Roman"/>
      <charset val="134"/>
    </font>
    <font>
      <b/>
      <sz val="8"/>
      <color theme="1"/>
      <name val="Times New Roman"/>
      <charset val="134"/>
    </font>
    <font>
      <sz val="8"/>
      <color theme="1"/>
      <name val="Arial"/>
      <charset val="134"/>
    </font>
    <font>
      <sz val="10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9"/>
      <color rgb="FFFF0000"/>
      <name val="Calibri"/>
      <charset val="134"/>
      <scheme val="minor"/>
    </font>
    <font>
      <sz val="11"/>
      <color rgb="FF000000"/>
      <name val="Arial1"/>
      <charset val="134"/>
    </font>
    <font>
      <b/>
      <i/>
      <sz val="8"/>
      <color rgb="FF000000"/>
      <name val="Times New Roman"/>
      <charset val="134"/>
    </font>
    <font>
      <sz val="11"/>
      <color rgb="FFFF0000"/>
      <name val="Arial1"/>
      <charset val="134"/>
    </font>
    <font>
      <sz val="8"/>
      <name val="Arial"/>
      <charset val="134"/>
    </font>
    <font>
      <sz val="9"/>
      <name val="Times New Roman"/>
      <charset val="134"/>
    </font>
    <font>
      <b/>
      <sz val="15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800000"/>
      <name val="Calibri1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0"/>
      <color rgb="FF000000"/>
      <name val="Arial1"/>
      <charset val="134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0"/>
      <color rgb="FF000000"/>
      <name val="Arial"/>
      <charset val="134"/>
    </font>
    <font>
      <sz val="11"/>
      <color rgb="FF9C65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000000"/>
      <name val="Calibri"/>
      <charset val="134"/>
    </font>
    <font>
      <b/>
      <i/>
      <sz val="12"/>
      <color rgb="FF0000FF"/>
      <name val="Times New Roman"/>
      <charset val="134"/>
    </font>
    <font>
      <b/>
      <sz val="11"/>
      <color theme="1"/>
      <name val="Calibri"/>
      <charset val="134"/>
    </font>
    <font>
      <sz val="11"/>
      <color theme="1"/>
      <name val="宋体"/>
      <charset val="134"/>
    </font>
    <font>
      <sz val="8"/>
      <color theme="1"/>
      <name val="Calibri"/>
      <charset val="134"/>
    </font>
    <font>
      <sz val="11"/>
      <color theme="1"/>
      <name val="Calibri"/>
      <charset val="134"/>
    </font>
  </fonts>
  <fills count="50">
    <fill>
      <patternFill patternType="none"/>
    </fill>
    <fill>
      <patternFill patternType="gray125"/>
    </fill>
    <fill>
      <patternFill patternType="solid">
        <fgColor theme="0" tint="-0.149876400036622"/>
        <bgColor indexed="64"/>
      </patternFill>
    </fill>
    <fill>
      <patternFill patternType="solid">
        <fgColor rgb="FFDDDDDD"/>
        <bgColor rgb="FFDDDDDD"/>
      </patternFill>
    </fill>
    <fill>
      <patternFill patternType="solid">
        <fgColor rgb="FFEEEEEE"/>
        <bgColor rgb="FFEEEEEE"/>
      </patternFill>
    </fill>
    <fill>
      <patternFill patternType="solid">
        <fgColor rgb="FF333399"/>
        <bgColor rgb="FF333399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0">
    <xf numFmtId="0" fontId="0" fillId="0" borderId="0"/>
    <xf numFmtId="0" fontId="54" fillId="25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/>
    <xf numFmtId="183" fontId="0" fillId="0" borderId="0" applyFont="0" applyFill="0" applyBorder="0" applyAlignment="0" applyProtection="0">
      <alignment vertical="center"/>
    </xf>
    <xf numFmtId="43" fontId="55" fillId="0" borderId="0" applyFont="0" applyFill="0" applyBorder="0" applyAlignment="0" applyProtection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7" fillId="19" borderId="39" applyNumberFormat="0" applyAlignment="0" applyProtection="0">
      <alignment vertical="center"/>
    </xf>
    <xf numFmtId="0" fontId="49" fillId="0" borderId="38" applyNumberFormat="0" applyFill="0" applyAlignment="0" applyProtection="0">
      <alignment vertical="center"/>
    </xf>
    <xf numFmtId="0" fontId="0" fillId="26" borderId="42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179" fontId="58" fillId="0" borderId="0"/>
    <xf numFmtId="0" fontId="53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38" applyNumberFormat="0" applyFill="0" applyAlignment="0" applyProtection="0">
      <alignment vertical="center"/>
    </xf>
    <xf numFmtId="0" fontId="51" fillId="0" borderId="41" applyNumberFormat="0" applyFill="0" applyAlignment="0" applyProtection="0">
      <alignment vertical="center"/>
    </xf>
    <xf numFmtId="0" fontId="61" fillId="0" borderId="0" applyNumberFormat="0" applyBorder="0" applyProtection="0"/>
    <xf numFmtId="0" fontId="51" fillId="0" borderId="0" applyNumberFormat="0" applyFill="0" applyBorder="0" applyAlignment="0" applyProtection="0">
      <alignment vertical="center"/>
    </xf>
    <xf numFmtId="0" fontId="19" fillId="0" borderId="0" applyNumberFormat="0" applyBorder="0" applyProtection="0"/>
    <xf numFmtId="0" fontId="65" fillId="40" borderId="44" applyNumberFormat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6" fillId="41" borderId="45" applyNumberFormat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68" fillId="41" borderId="44" applyNumberFormat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64" fillId="0" borderId="43" applyNumberFormat="0" applyFill="0" applyAlignment="0" applyProtection="0">
      <alignment vertical="center"/>
    </xf>
    <xf numFmtId="0" fontId="63" fillId="38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Border="0" applyProtection="0"/>
    <xf numFmtId="0" fontId="53" fillId="45" borderId="0" applyNumberFormat="0" applyBorder="0" applyAlignment="0" applyProtection="0">
      <alignment vertical="center"/>
    </xf>
    <xf numFmtId="0" fontId="41" fillId="0" borderId="0"/>
    <xf numFmtId="0" fontId="54" fillId="2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177" fontId="58" fillId="0" borderId="0" applyBorder="0" applyProtection="0"/>
    <xf numFmtId="0" fontId="54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179" fontId="58" fillId="0" borderId="0" applyBorder="0" applyProtection="0"/>
    <xf numFmtId="0" fontId="52" fillId="0" borderId="0" applyNumberFormat="0" applyBorder="0" applyProtection="0"/>
    <xf numFmtId="0" fontId="69" fillId="0" borderId="0"/>
  </cellStyleXfs>
  <cellXfs count="781">
    <xf numFmtId="0" fontId="0" fillId="0" borderId="0" xfId="0"/>
    <xf numFmtId="0" fontId="1" fillId="0" borderId="0" xfId="0" applyFont="1"/>
    <xf numFmtId="0" fontId="2" fillId="2" borderId="1" xfId="35" applyFont="1" applyFill="1" applyBorder="1" applyAlignment="1">
      <alignment horizontal="center" vertical="center"/>
    </xf>
    <xf numFmtId="0" fontId="1" fillId="0" borderId="2" xfId="35" applyFont="1" applyBorder="1" applyAlignment="1">
      <alignment horizontal="center"/>
    </xf>
    <xf numFmtId="0" fontId="1" fillId="0" borderId="3" xfId="35" applyFont="1" applyBorder="1" applyAlignment="1">
      <alignment horizontal="center"/>
    </xf>
    <xf numFmtId="0" fontId="1" fillId="0" borderId="4" xfId="35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35" applyFont="1" applyBorder="1" applyAlignment="1">
      <alignment horizontal="center" vertical="center"/>
    </xf>
    <xf numFmtId="0" fontId="3" fillId="0" borderId="1" xfId="35" applyFont="1" applyBorder="1" applyAlignment="1">
      <alignment horizontal="center" vertical="center" wrapText="1"/>
    </xf>
    <xf numFmtId="43" fontId="3" fillId="0" borderId="1" xfId="4" applyFont="1" applyBorder="1" applyAlignment="1">
      <alignment horizontal="center" vertical="center" wrapText="1"/>
    </xf>
    <xf numFmtId="0" fontId="3" fillId="0" borderId="1" xfId="35" applyFont="1" applyBorder="1" applyAlignment="1">
      <alignment horizontal="center" vertical="top"/>
    </xf>
    <xf numFmtId="0" fontId="1" fillId="0" borderId="1" xfId="35" applyFont="1" applyBorder="1" applyAlignment="1">
      <alignment horizontal="center" vertical="center"/>
    </xf>
    <xf numFmtId="0" fontId="1" fillId="0" borderId="1" xfId="35" applyFont="1" applyBorder="1" applyAlignment="1">
      <alignment horizontal="left" vertical="center" wrapText="1"/>
    </xf>
    <xf numFmtId="43" fontId="1" fillId="0" borderId="1" xfId="4" applyFont="1" applyBorder="1" applyAlignment="1">
      <alignment horizontal="left" vertical="center"/>
    </xf>
    <xf numFmtId="0" fontId="3" fillId="0" borderId="1" xfId="35" applyFont="1" applyBorder="1" applyAlignment="1">
      <alignment horizontal="left" vertical="center" wrapText="1"/>
    </xf>
    <xf numFmtId="43" fontId="3" fillId="0" borderId="1" xfId="4" applyFont="1" applyBorder="1" applyAlignment="1">
      <alignment horizontal="left" vertical="center"/>
    </xf>
    <xf numFmtId="0" fontId="3" fillId="0" borderId="1" xfId="35" applyFont="1" applyBorder="1" applyAlignment="1">
      <alignment horizontal="left" vertical="top" wrapText="1"/>
    </xf>
    <xf numFmtId="0" fontId="3" fillId="0" borderId="1" xfId="35" applyFont="1" applyBorder="1" applyAlignment="1">
      <alignment horizontal="right" vertical="top"/>
    </xf>
    <xf numFmtId="0" fontId="3" fillId="0" borderId="0" xfId="0" applyFont="1" applyAlignment="1">
      <alignment horizontal="left" wrapText="1"/>
    </xf>
    <xf numFmtId="0" fontId="4" fillId="0" borderId="0" xfId="0" applyFont="1"/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2" fillId="0" borderId="0" xfId="36" applyFont="1" applyFill="1" applyAlignment="1" applyProtection="1">
      <alignment horizontal="left"/>
    </xf>
    <xf numFmtId="0" fontId="2" fillId="0" borderId="0" xfId="24" applyFont="1" applyFill="1" applyAlignment="1" applyProtection="1">
      <alignment vertical="center" wrapText="1"/>
    </xf>
    <xf numFmtId="0" fontId="7" fillId="5" borderId="7" xfId="22" applyFont="1" applyFill="1" applyBorder="1" applyAlignment="1" applyProtection="1">
      <alignment horizontal="center" vertical="center" wrapText="1"/>
    </xf>
    <xf numFmtId="0" fontId="4" fillId="0" borderId="8" xfId="0" applyFont="1" applyFill="1" applyBorder="1"/>
    <xf numFmtId="0" fontId="8" fillId="0" borderId="0" xfId="22" applyFont="1" applyFill="1" applyAlignment="1" applyProtection="1">
      <alignment horizontal="center"/>
    </xf>
    <xf numFmtId="0" fontId="8" fillId="0" borderId="0" xfId="22" applyFont="1" applyFill="1" applyAlignment="1" applyProtection="1"/>
    <xf numFmtId="0" fontId="2" fillId="0" borderId="9" xfId="22" applyFont="1" applyFill="1" applyBorder="1" applyAlignment="1" applyProtection="1">
      <alignment horizontal="center" vertical="center"/>
    </xf>
    <xf numFmtId="0" fontId="2" fillId="0" borderId="9" xfId="22" applyFont="1" applyFill="1" applyBorder="1" applyAlignment="1" applyProtection="1">
      <alignment horizontal="center"/>
    </xf>
    <xf numFmtId="0" fontId="8" fillId="0" borderId="10" xfId="22" applyFont="1" applyFill="1" applyBorder="1" applyAlignment="1" applyProtection="1">
      <alignment horizontal="center"/>
    </xf>
    <xf numFmtId="10" fontId="8" fillId="0" borderId="9" xfId="22" applyNumberFormat="1" applyFont="1" applyFill="1" applyBorder="1" applyAlignment="1" applyProtection="1">
      <alignment horizontal="center"/>
    </xf>
    <xf numFmtId="10" fontId="2" fillId="0" borderId="9" xfId="22" applyNumberFormat="1" applyFont="1" applyFill="1" applyBorder="1" applyAlignment="1" applyProtection="1">
      <alignment horizontal="center"/>
    </xf>
    <xf numFmtId="0" fontId="8" fillId="0" borderId="11" xfId="22" applyFont="1" applyFill="1" applyBorder="1" applyAlignment="1" applyProtection="1">
      <alignment horizontal="center"/>
    </xf>
    <xf numFmtId="0" fontId="2" fillId="0" borderId="7" xfId="22" applyFont="1" applyFill="1" applyBorder="1" applyAlignment="1" applyProtection="1">
      <alignment horizontal="center"/>
    </xf>
    <xf numFmtId="0" fontId="2" fillId="0" borderId="10" xfId="22" applyFont="1" applyFill="1" applyBorder="1" applyAlignment="1" applyProtection="1">
      <alignment horizontal="center"/>
    </xf>
    <xf numFmtId="187" fontId="8" fillId="0" borderId="9" xfId="22" applyNumberFormat="1" applyFont="1" applyFill="1" applyBorder="1" applyAlignment="1" applyProtection="1">
      <alignment horizontal="center"/>
    </xf>
    <xf numFmtId="187" fontId="2" fillId="0" borderId="9" xfId="22" applyNumberFormat="1" applyFont="1" applyFill="1" applyBorder="1" applyAlignment="1" applyProtection="1">
      <alignment horizontal="center"/>
    </xf>
    <xf numFmtId="0" fontId="2" fillId="0" borderId="9" xfId="22" applyFont="1" applyFill="1" applyBorder="1" applyAlignment="1" applyProtection="1">
      <alignment horizontal="right"/>
    </xf>
    <xf numFmtId="0" fontId="8" fillId="0" borderId="9" xfId="22" applyFont="1" applyFill="1" applyBorder="1" applyAlignment="1" applyProtection="1">
      <alignment horizontal="right" vertical="top"/>
    </xf>
    <xf numFmtId="0" fontId="8" fillId="0" borderId="9" xfId="22" applyFont="1" applyFill="1" applyBorder="1" applyAlignment="1" applyProtection="1">
      <alignment wrapText="1"/>
    </xf>
    <xf numFmtId="0" fontId="8" fillId="0" borderId="9" xfId="22" applyFont="1" applyFill="1" applyBorder="1" applyAlignment="1" applyProtection="1">
      <alignment horizontal="right"/>
    </xf>
    <xf numFmtId="0" fontId="8" fillId="0" borderId="9" xfId="22" applyFont="1" applyFill="1" applyBorder="1" applyAlignment="1" applyProtection="1"/>
    <xf numFmtId="0" fontId="8" fillId="0" borderId="5" xfId="22" applyFont="1" applyFill="1" applyBorder="1" applyAlignment="1" applyProtection="1">
      <alignment horizontal="center" vertical="center"/>
    </xf>
    <xf numFmtId="0" fontId="8" fillId="0" borderId="6" xfId="22" applyFont="1" applyFill="1" applyBorder="1" applyAlignment="1" applyProtection="1">
      <alignment horizontal="center"/>
    </xf>
    <xf numFmtId="49" fontId="8" fillId="0" borderId="12" xfId="22" applyNumberFormat="1" applyFont="1" applyFill="1" applyBorder="1" applyAlignment="1" applyProtection="1">
      <alignment horizontal="center" vertical="center"/>
    </xf>
    <xf numFmtId="0" fontId="8" fillId="0" borderId="13" xfId="22" applyFont="1" applyFill="1" applyBorder="1" applyAlignment="1" applyProtection="1">
      <alignment horizontal="center"/>
    </xf>
    <xf numFmtId="192" fontId="8" fillId="0" borderId="6" xfId="22" applyNumberFormat="1" applyFont="1" applyFill="1" applyBorder="1" applyAlignment="1" applyProtection="1">
      <alignment horizontal="center"/>
    </xf>
    <xf numFmtId="182" fontId="8" fillId="0" borderId="6" xfId="22" applyNumberFormat="1" applyFont="1" applyFill="1" applyBorder="1" applyAlignment="1" applyProtection="1">
      <alignment horizontal="center"/>
    </xf>
    <xf numFmtId="193" fontId="8" fillId="0" borderId="13" xfId="22" applyNumberFormat="1" applyFont="1" applyFill="1" applyBorder="1" applyAlignment="1" applyProtection="1">
      <alignment horizontal="center"/>
    </xf>
    <xf numFmtId="191" fontId="8" fillId="0" borderId="6" xfId="22" applyNumberFormat="1" applyFont="1" applyFill="1" applyBorder="1" applyAlignment="1" applyProtection="1">
      <alignment horizontal="center"/>
    </xf>
    <xf numFmtId="181" fontId="8" fillId="0" borderId="6" xfId="22" applyNumberFormat="1" applyFont="1" applyFill="1" applyBorder="1" applyAlignment="1" applyProtection="1">
      <alignment horizontal="center"/>
    </xf>
    <xf numFmtId="181" fontId="8" fillId="0" borderId="13" xfId="22" applyNumberFormat="1" applyFont="1" applyFill="1" applyBorder="1" applyAlignment="1" applyProtection="1">
      <alignment horizontal="center"/>
    </xf>
    <xf numFmtId="49" fontId="8" fillId="0" borderId="12" xfId="22" applyNumberFormat="1" applyFont="1" applyFill="1" applyBorder="1" applyAlignment="1" applyProtection="1">
      <alignment horizontal="left" vertical="center"/>
    </xf>
    <xf numFmtId="190" fontId="8" fillId="0" borderId="6" xfId="22" applyNumberFormat="1" applyFont="1" applyFill="1" applyBorder="1" applyAlignment="1" applyProtection="1">
      <alignment horizontal="center" vertical="center"/>
    </xf>
    <xf numFmtId="0" fontId="7" fillId="5" borderId="5" xfId="22" applyFont="1" applyFill="1" applyBorder="1" applyAlignment="1" applyProtection="1">
      <alignment horizontal="right" vertical="center"/>
    </xf>
    <xf numFmtId="10" fontId="7" fillId="5" borderId="12" xfId="22" applyNumberFormat="1" applyFont="1" applyFill="1" applyBorder="1" applyAlignment="1" applyProtection="1">
      <alignment horizontal="left" vertical="center"/>
    </xf>
    <xf numFmtId="0" fontId="9" fillId="0" borderId="0" xfId="22" applyFont="1" applyFill="1" applyAlignment="1" applyProtection="1">
      <alignment wrapText="1"/>
    </xf>
    <xf numFmtId="0" fontId="9" fillId="0" borderId="0" xfId="22" applyFont="1" applyFill="1" applyAlignment="1" applyProtection="1">
      <alignment horizontal="left" wrapText="1"/>
    </xf>
    <xf numFmtId="0" fontId="9" fillId="0" borderId="0" xfId="22" applyFont="1" applyFill="1" applyAlignment="1" applyProtection="1">
      <alignment horizontal="left" vertical="center" wrapText="1"/>
    </xf>
    <xf numFmtId="0" fontId="5" fillId="3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10" fillId="0" borderId="0" xfId="58" applyFont="1" applyFill="1" applyAlignment="1" applyProtection="1">
      <alignment vertical="center" wrapText="1"/>
    </xf>
    <xf numFmtId="0" fontId="2" fillId="0" borderId="9" xfId="22" applyFont="1" applyFill="1" applyBorder="1" applyAlignment="1" applyProtection="1">
      <alignment horizontal="center" vertical="center" wrapText="1"/>
    </xf>
    <xf numFmtId="178" fontId="8" fillId="0" borderId="7" xfId="22" applyNumberFormat="1" applyFont="1" applyFill="1" applyBorder="1" applyAlignment="1" applyProtection="1">
      <alignment horizontal="center"/>
    </xf>
    <xf numFmtId="187" fontId="2" fillId="0" borderId="7" xfId="22" applyNumberFormat="1" applyFont="1" applyFill="1" applyBorder="1" applyAlignment="1" applyProtection="1">
      <alignment horizontal="center"/>
    </xf>
    <xf numFmtId="10" fontId="2" fillId="0" borderId="9" xfId="22" applyNumberFormat="1" applyFont="1" applyFill="1" applyBorder="1" applyAlignment="1" applyProtection="1"/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11" fillId="0" borderId="0" xfId="0" applyFont="1"/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2" fillId="6" borderId="17" xfId="0" applyFont="1" applyFill="1" applyBorder="1" applyAlignment="1">
      <alignment vertical="center" wrapText="1"/>
    </xf>
    <xf numFmtId="0" fontId="3" fillId="7" borderId="14" xfId="0" applyFont="1" applyFill="1" applyBorder="1" applyAlignment="1">
      <alignment horizontal="left"/>
    </xf>
    <xf numFmtId="0" fontId="3" fillId="7" borderId="15" xfId="0" applyFont="1" applyFill="1" applyBorder="1" applyAlignment="1">
      <alignment horizontal="left"/>
    </xf>
    <xf numFmtId="0" fontId="3" fillId="7" borderId="18" xfId="0" applyFont="1" applyFill="1" applyBorder="1" applyAlignment="1">
      <alignment horizontal="left"/>
    </xf>
    <xf numFmtId="0" fontId="3" fillId="8" borderId="19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/>
    </xf>
    <xf numFmtId="0" fontId="3" fillId="8" borderId="22" xfId="0" applyFont="1" applyFill="1" applyBorder="1" applyAlignment="1">
      <alignment horizontal="center"/>
    </xf>
    <xf numFmtId="49" fontId="1" fillId="9" borderId="23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2" fontId="1" fillId="9" borderId="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right" vertical="center" wrapText="1"/>
    </xf>
    <xf numFmtId="184" fontId="13" fillId="0" borderId="0" xfId="2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/>
    </xf>
    <xf numFmtId="184" fontId="13" fillId="0" borderId="0" xfId="2" applyFont="1" applyFill="1" applyBorder="1" applyAlignment="1">
      <alignment horizontal="center" vertical="center" wrapText="1"/>
    </xf>
    <xf numFmtId="49" fontId="1" fillId="9" borderId="23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2" fontId="13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3" fillId="8" borderId="22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Border="1" applyAlignment="1">
      <alignment horizontal="center" vertical="center"/>
    </xf>
    <xf numFmtId="184" fontId="1" fillId="0" borderId="0" xfId="2" applyFont="1" applyBorder="1" applyAlignment="1">
      <alignment horizontal="center" vertical="center"/>
    </xf>
    <xf numFmtId="184" fontId="1" fillId="0" borderId="0" xfId="2" applyFont="1" applyBorder="1" applyAlignment="1">
      <alignment horizontal="center" vertical="center" wrapText="1"/>
    </xf>
    <xf numFmtId="0" fontId="3" fillId="8" borderId="25" xfId="0" applyFont="1" applyFill="1" applyBorder="1" applyAlignment="1">
      <alignment horizontal="center" vertical="center" wrapText="1"/>
    </xf>
    <xf numFmtId="49" fontId="1" fillId="9" borderId="1" xfId="0" applyNumberFormat="1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0" fontId="12" fillId="8" borderId="19" xfId="0" applyFont="1" applyFill="1" applyBorder="1" applyAlignment="1">
      <alignment horizontal="center" vertical="center" wrapText="1"/>
    </xf>
    <xf numFmtId="0" fontId="3" fillId="8" borderId="26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 wrapText="1"/>
    </xf>
    <xf numFmtId="0" fontId="3" fillId="7" borderId="0" xfId="0" applyFont="1" applyFill="1" applyBorder="1" applyAlignment="1">
      <alignment horizontal="left"/>
    </xf>
    <xf numFmtId="176" fontId="13" fillId="0" borderId="1" xfId="0" applyNumberFormat="1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right" vertical="center" wrapText="1"/>
    </xf>
    <xf numFmtId="0" fontId="13" fillId="0" borderId="28" xfId="0" applyFont="1" applyFill="1" applyBorder="1" applyAlignment="1">
      <alignment vertical="center" wrapText="1"/>
    </xf>
    <xf numFmtId="0" fontId="1" fillId="0" borderId="28" xfId="0" applyFont="1" applyBorder="1" applyAlignment="1">
      <alignment horizontal="center" vertical="center"/>
    </xf>
    <xf numFmtId="176" fontId="1" fillId="0" borderId="28" xfId="0" applyNumberFormat="1" applyFont="1" applyFill="1" applyBorder="1" applyAlignment="1">
      <alignment horizontal="center" vertical="center"/>
    </xf>
    <xf numFmtId="0" fontId="1" fillId="0" borderId="0" xfId="0" applyFont="1" applyBorder="1"/>
    <xf numFmtId="0" fontId="0" fillId="0" borderId="0" xfId="0" applyAlignment="1">
      <alignment wrapText="1"/>
    </xf>
    <xf numFmtId="0" fontId="14" fillId="0" borderId="0" xfId="0" applyNumberFormat="1" applyFont="1"/>
    <xf numFmtId="0" fontId="14" fillId="0" borderId="0" xfId="0" applyFont="1"/>
    <xf numFmtId="0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5" fillId="0" borderId="2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0" borderId="2" xfId="0" applyNumberFormat="1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5" fillId="0" borderId="2" xfId="0" applyNumberFormat="1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4" fillId="2" borderId="1" xfId="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4" fillId="0" borderId="0" xfId="0" applyNumberFormat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5" fillId="2" borderId="10" xfId="0" applyNumberFormat="1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left" vertical="center" wrapText="1"/>
    </xf>
    <xf numFmtId="0" fontId="15" fillId="2" borderId="30" xfId="0" applyFont="1" applyFill="1" applyBorder="1" applyAlignment="1">
      <alignment horizontal="left" vertical="center" wrapText="1"/>
    </xf>
    <xf numFmtId="0" fontId="15" fillId="2" borderId="31" xfId="0" applyFont="1" applyFill="1" applyBorder="1" applyAlignment="1">
      <alignment horizontal="left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190" fontId="15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horizontal="right" vertical="center" wrapText="1"/>
    </xf>
    <xf numFmtId="0" fontId="15" fillId="0" borderId="0" xfId="0" applyNumberFormat="1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4" fontId="18" fillId="2" borderId="7" xfId="0" applyNumberFormat="1" applyFont="1" applyFill="1" applyBorder="1" applyAlignment="1">
      <alignment horizontal="center" vertical="center" wrapText="1"/>
    </xf>
    <xf numFmtId="4" fontId="18" fillId="2" borderId="7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9" fillId="0" borderId="9" xfId="0" applyNumberFormat="1" applyFont="1" applyFill="1" applyBorder="1" applyAlignment="1">
      <alignment horizontal="center" vertical="center" wrapText="1"/>
    </xf>
    <xf numFmtId="49" fontId="19" fillId="0" borderId="9" xfId="0" applyNumberFormat="1" applyFont="1" applyFill="1" applyBorder="1" applyAlignment="1">
      <alignment horizontal="center" vertical="center" wrapText="1"/>
    </xf>
    <xf numFmtId="2" fontId="19" fillId="0" borderId="9" xfId="0" applyNumberFormat="1" applyFont="1" applyFill="1" applyBorder="1" applyAlignment="1">
      <alignment horizontal="center" vertical="center" wrapText="1"/>
    </xf>
    <xf numFmtId="4" fontId="19" fillId="0" borderId="9" xfId="0" applyNumberFormat="1" applyFont="1" applyFill="1" applyBorder="1" applyAlignment="1">
      <alignment horizontal="center" vertical="center" wrapText="1"/>
    </xf>
    <xf numFmtId="4" fontId="19" fillId="0" borderId="9" xfId="0" applyNumberFormat="1" applyFont="1" applyFill="1" applyBorder="1" applyAlignment="1">
      <alignment horizontal="right" vertical="center"/>
    </xf>
    <xf numFmtId="2" fontId="19" fillId="0" borderId="9" xfId="0" applyNumberFormat="1" applyFont="1" applyFill="1" applyBorder="1" applyAlignment="1">
      <alignment horizontal="center" vertical="center"/>
    </xf>
    <xf numFmtId="0" fontId="19" fillId="0" borderId="0" xfId="0" applyNumberFormat="1" applyFont="1" applyAlignment="1">
      <alignment horizontal="center" vertical="center" wrapText="1"/>
    </xf>
    <xf numFmtId="0" fontId="19" fillId="0" borderId="0" xfId="0" applyFont="1"/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190" fontId="15" fillId="0" borderId="1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Fill="1" applyBorder="1" applyAlignment="1">
      <alignment horizontal="right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1" xfId="0" applyNumberFormat="1" applyFont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0" fontId="15" fillId="10" borderId="10" xfId="0" applyNumberFormat="1" applyFont="1" applyFill="1" applyBorder="1" applyAlignment="1">
      <alignment horizontal="center" vertical="center" wrapText="1"/>
    </xf>
    <xf numFmtId="0" fontId="15" fillId="10" borderId="29" xfId="0" applyFont="1" applyFill="1" applyBorder="1" applyAlignment="1">
      <alignment horizontal="left" vertical="center" wrapText="1"/>
    </xf>
    <xf numFmtId="0" fontId="15" fillId="10" borderId="30" xfId="0" applyFont="1" applyFill="1" applyBorder="1" applyAlignment="1">
      <alignment horizontal="left" vertical="center" wrapText="1"/>
    </xf>
    <xf numFmtId="0" fontId="15" fillId="10" borderId="31" xfId="0" applyFont="1" applyFill="1" applyBorder="1" applyAlignment="1">
      <alignment horizontal="left" vertical="center" wrapText="1"/>
    </xf>
    <xf numFmtId="0" fontId="15" fillId="10" borderId="32" xfId="0" applyFont="1" applyFill="1" applyBorder="1" applyAlignment="1">
      <alignment horizontal="center" vertical="center" wrapText="1"/>
    </xf>
    <xf numFmtId="0" fontId="15" fillId="10" borderId="1" xfId="0" applyNumberFormat="1" applyFont="1" applyFill="1" applyBorder="1" applyAlignment="1">
      <alignment horizontal="center" vertical="center" wrapText="1"/>
    </xf>
    <xf numFmtId="4" fontId="15" fillId="1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189" fontId="15" fillId="0" borderId="1" xfId="0" applyNumberFormat="1" applyFont="1" applyFill="1" applyBorder="1" applyAlignment="1">
      <alignment horizontal="center" vertical="center" wrapText="1"/>
    </xf>
    <xf numFmtId="4" fontId="18" fillId="10" borderId="7" xfId="0" applyNumberFormat="1" applyFont="1" applyFill="1" applyBorder="1" applyAlignment="1">
      <alignment horizontal="center" vertical="center" wrapText="1"/>
    </xf>
    <xf numFmtId="4" fontId="18" fillId="10" borderId="7" xfId="0" applyNumberFormat="1" applyFont="1" applyFill="1" applyBorder="1" applyAlignment="1">
      <alignment horizontal="right" vertical="center" wrapText="1"/>
    </xf>
    <xf numFmtId="0" fontId="20" fillId="11" borderId="1" xfId="0" applyFont="1" applyFill="1" applyBorder="1" applyAlignment="1">
      <alignment horizontal="left" vertical="center" wrapText="1"/>
    </xf>
    <xf numFmtId="0" fontId="15" fillId="0" borderId="0" xfId="0" applyNumberFormat="1" applyFont="1" applyFill="1" applyAlignment="1">
      <alignment horizontal="left" vertical="center" wrapText="1"/>
    </xf>
    <xf numFmtId="189" fontId="15" fillId="0" borderId="33" xfId="0" applyNumberFormat="1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vertical="center" wrapText="1"/>
    </xf>
    <xf numFmtId="2" fontId="15" fillId="0" borderId="1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4" fontId="18" fillId="10" borderId="1" xfId="0" applyNumberFormat="1" applyFont="1" applyFill="1" applyBorder="1" applyAlignment="1">
      <alignment horizontal="center" vertical="center" wrapText="1"/>
    </xf>
    <xf numFmtId="4" fontId="18" fillId="10" borderId="34" xfId="0" applyNumberFormat="1" applyFont="1" applyFill="1" applyBorder="1" applyAlignment="1">
      <alignment horizontal="right" vertical="center" wrapText="1"/>
    </xf>
    <xf numFmtId="0" fontId="15" fillId="12" borderId="10" xfId="0" applyNumberFormat="1" applyFont="1" applyFill="1" applyBorder="1" applyAlignment="1">
      <alignment horizontal="center" vertical="center" wrapText="1"/>
    </xf>
    <xf numFmtId="0" fontId="15" fillId="12" borderId="29" xfId="0" applyFont="1" applyFill="1" applyBorder="1" applyAlignment="1">
      <alignment horizontal="left" vertical="center" wrapText="1"/>
    </xf>
    <xf numFmtId="0" fontId="15" fillId="12" borderId="30" xfId="0" applyFont="1" applyFill="1" applyBorder="1" applyAlignment="1">
      <alignment horizontal="left" vertical="center" wrapText="1"/>
    </xf>
    <xf numFmtId="0" fontId="15" fillId="12" borderId="31" xfId="0" applyFont="1" applyFill="1" applyBorder="1" applyAlignment="1">
      <alignment horizontal="left" vertical="center" wrapText="1"/>
    </xf>
    <xf numFmtId="0" fontId="15" fillId="12" borderId="32" xfId="0" applyFont="1" applyFill="1" applyBorder="1" applyAlignment="1">
      <alignment horizontal="center" vertical="center" wrapText="1"/>
    </xf>
    <xf numFmtId="0" fontId="15" fillId="12" borderId="1" xfId="0" applyNumberFormat="1" applyFont="1" applyFill="1" applyBorder="1" applyAlignment="1">
      <alignment horizontal="center" vertical="center" wrapText="1"/>
    </xf>
    <xf numFmtId="4" fontId="15" fillId="12" borderId="28" xfId="0" applyNumberFormat="1" applyFont="1" applyFill="1" applyBorder="1" applyAlignment="1">
      <alignment horizontal="center" vertical="center" wrapText="1"/>
    </xf>
    <xf numFmtId="4" fontId="15" fillId="12" borderId="1" xfId="0" applyNumberFormat="1" applyFont="1" applyFill="1" applyBorder="1" applyAlignment="1">
      <alignment horizontal="center" vertical="center" wrapText="1"/>
    </xf>
    <xf numFmtId="0" fontId="21" fillId="0" borderId="2" xfId="59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86" fontId="14" fillId="0" borderId="1" xfId="0" applyNumberFormat="1" applyFont="1" applyFill="1" applyBorder="1" applyAlignment="1">
      <alignment vertical="center"/>
    </xf>
    <xf numFmtId="2" fontId="14" fillId="0" borderId="1" xfId="0" applyNumberFormat="1" applyFont="1" applyBorder="1" applyAlignment="1">
      <alignment vertical="center" wrapText="1"/>
    </xf>
    <xf numFmtId="0" fontId="21" fillId="13" borderId="2" xfId="5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4" fontId="18" fillId="12" borderId="1" xfId="0" applyNumberFormat="1" applyFont="1" applyFill="1" applyBorder="1" applyAlignment="1">
      <alignment horizontal="center" vertical="center" wrapText="1"/>
    </xf>
    <xf numFmtId="4" fontId="18" fillId="12" borderId="34" xfId="0" applyNumberFormat="1" applyFont="1" applyFill="1" applyBorder="1" applyAlignment="1">
      <alignment horizontal="right" vertical="center" wrapText="1"/>
    </xf>
    <xf numFmtId="2" fontId="14" fillId="0" borderId="1" xfId="0" applyNumberFormat="1" applyFont="1" applyFill="1" applyBorder="1" applyAlignment="1">
      <alignment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86" fontId="14" fillId="0" borderId="1" xfId="0" applyNumberFormat="1" applyFont="1" applyFill="1" applyBorder="1" applyAlignment="1">
      <alignment horizontal="right" vertical="center"/>
    </xf>
    <xf numFmtId="2" fontId="14" fillId="0" borderId="1" xfId="0" applyNumberFormat="1" applyFont="1" applyFill="1" applyBorder="1" applyAlignment="1">
      <alignment horizontal="right" vertical="center"/>
    </xf>
    <xf numFmtId="2" fontId="14" fillId="0" borderId="1" xfId="0" applyNumberFormat="1" applyFont="1" applyFill="1" applyBorder="1" applyAlignment="1">
      <alignment horizontal="right" vertical="center" wrapText="1"/>
    </xf>
    <xf numFmtId="186" fontId="15" fillId="0" borderId="1" xfId="0" applyNumberFormat="1" applyFont="1" applyFill="1" applyBorder="1" applyAlignment="1">
      <alignment horizontal="right" vertical="center" wrapText="1"/>
    </xf>
    <xf numFmtId="2" fontId="14" fillId="0" borderId="1" xfId="0" applyNumberFormat="1" applyFont="1" applyBorder="1" applyAlignment="1">
      <alignment horizontal="right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186" fontId="14" fillId="0" borderId="1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/>
    </xf>
    <xf numFmtId="2" fontId="14" fillId="0" borderId="28" xfId="0" applyNumberFormat="1" applyFont="1" applyBorder="1" applyAlignment="1">
      <alignment horizontal="right" vertical="center"/>
    </xf>
    <xf numFmtId="2" fontId="14" fillId="0" borderId="33" xfId="0" applyNumberFormat="1" applyFont="1" applyBorder="1" applyAlignment="1">
      <alignment horizontal="right" vertical="center"/>
    </xf>
    <xf numFmtId="0" fontId="15" fillId="0" borderId="28" xfId="0" applyNumberFormat="1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vertical="center" wrapText="1"/>
    </xf>
    <xf numFmtId="0" fontId="15" fillId="0" borderId="28" xfId="0" applyFont="1" applyFill="1" applyBorder="1" applyAlignment="1">
      <alignment horizontal="center" vertical="center" wrapText="1"/>
    </xf>
    <xf numFmtId="186" fontId="15" fillId="0" borderId="28" xfId="0" applyNumberFormat="1" applyFont="1" applyFill="1" applyBorder="1" applyAlignment="1">
      <alignment horizontal="right" vertical="center" wrapText="1"/>
    </xf>
    <xf numFmtId="2" fontId="15" fillId="0" borderId="28" xfId="0" applyNumberFormat="1" applyFont="1" applyFill="1" applyBorder="1" applyAlignment="1">
      <alignment horizontal="right" vertical="center" wrapText="1"/>
    </xf>
    <xf numFmtId="4" fontId="15" fillId="0" borderId="28" xfId="0" applyNumberFormat="1" applyFont="1" applyFill="1" applyBorder="1" applyAlignment="1">
      <alignment horizontal="right" vertical="center" wrapText="1"/>
    </xf>
    <xf numFmtId="186" fontId="14" fillId="0" borderId="28" xfId="0" applyNumberFormat="1" applyFont="1" applyBorder="1" applyAlignment="1">
      <alignment horizontal="right" vertical="center"/>
    </xf>
    <xf numFmtId="186" fontId="14" fillId="0" borderId="33" xfId="0" applyNumberFormat="1" applyFont="1" applyBorder="1" applyAlignment="1">
      <alignment horizontal="right" vertical="center"/>
    </xf>
    <xf numFmtId="186" fontId="14" fillId="0" borderId="1" xfId="0" applyNumberFormat="1" applyFont="1" applyBorder="1" applyAlignment="1">
      <alignment vertical="center"/>
    </xf>
    <xf numFmtId="4" fontId="18" fillId="12" borderId="33" xfId="0" applyNumberFormat="1" applyFont="1" applyFill="1" applyBorder="1" applyAlignment="1">
      <alignment horizontal="center" vertical="center" wrapText="1"/>
    </xf>
    <xf numFmtId="186" fontId="14" fillId="0" borderId="1" xfId="0" applyNumberFormat="1" applyFont="1" applyFill="1" applyBorder="1"/>
    <xf numFmtId="0" fontId="14" fillId="0" borderId="4" xfId="0" applyFont="1" applyBorder="1" applyAlignment="1">
      <alignment horizontal="center" vertical="center" wrapText="1"/>
    </xf>
    <xf numFmtId="186" fontId="14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186" fontId="14" fillId="0" borderId="1" xfId="0" applyNumberFormat="1" applyFont="1" applyBorder="1" applyAlignment="1">
      <alignment horizontal="right" vertical="center" wrapText="1"/>
    </xf>
    <xf numFmtId="0" fontId="19" fillId="0" borderId="0" xfId="0" applyNumberFormat="1" applyFont="1" applyBorder="1" applyAlignment="1">
      <alignment horizontal="center" vertical="top"/>
    </xf>
    <xf numFmtId="49" fontId="19" fillId="0" borderId="0" xfId="0" applyNumberFormat="1" applyFont="1" applyBorder="1" applyAlignment="1">
      <alignment wrapText="1"/>
    </xf>
    <xf numFmtId="2" fontId="19" fillId="0" borderId="0" xfId="0" applyNumberFormat="1" applyFont="1" applyBorder="1" applyAlignment="1">
      <alignment horizontal="center" vertical="top"/>
    </xf>
    <xf numFmtId="4" fontId="20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15" fillId="0" borderId="1" xfId="0" applyFont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4" fontId="18" fillId="2" borderId="11" xfId="0" applyNumberFormat="1" applyFont="1" applyFill="1" applyBorder="1" applyAlignment="1">
      <alignment horizontal="center" vertical="center" wrapText="1"/>
    </xf>
    <xf numFmtId="4" fontId="18" fillId="2" borderId="11" xfId="0" applyNumberFormat="1" applyFont="1" applyFill="1" applyBorder="1" applyAlignment="1">
      <alignment horizontal="right" vertical="center" wrapText="1"/>
    </xf>
    <xf numFmtId="0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22" fillId="2" borderId="2" xfId="0" applyFont="1" applyFill="1" applyBorder="1" applyAlignment="1">
      <alignment horizontal="left" vertical="center" wrapText="1"/>
    </xf>
    <xf numFmtId="0" fontId="22" fillId="2" borderId="3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left" vertical="center" wrapTex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5" fillId="2" borderId="2" xfId="38" applyFont="1" applyFill="1" applyBorder="1" applyAlignment="1">
      <alignment horizontal="left" vertical="center"/>
    </xf>
    <xf numFmtId="0" fontId="25" fillId="2" borderId="3" xfId="38" applyFont="1" applyFill="1" applyBorder="1" applyAlignment="1">
      <alignment horizontal="left" vertical="center"/>
    </xf>
    <xf numFmtId="0" fontId="25" fillId="2" borderId="4" xfId="38" applyFont="1" applyFill="1" applyBorder="1" applyAlignment="1">
      <alignment horizontal="left" vertical="center"/>
    </xf>
    <xf numFmtId="0" fontId="25" fillId="0" borderId="1" xfId="38" applyFont="1" applyBorder="1" applyAlignment="1">
      <alignment vertical="center"/>
    </xf>
    <xf numFmtId="0" fontId="25" fillId="0" borderId="1" xfId="38" applyFont="1" applyBorder="1" applyAlignment="1">
      <alignment horizontal="center" vertical="center"/>
    </xf>
    <xf numFmtId="0" fontId="25" fillId="0" borderId="1" xfId="38" applyFont="1" applyBorder="1" applyAlignment="1">
      <alignment horizontal="right" vertical="center"/>
    </xf>
    <xf numFmtId="2" fontId="25" fillId="0" borderId="1" xfId="38" applyNumberFormat="1" applyFont="1" applyBorder="1" applyAlignment="1">
      <alignment horizontal="center" vertical="center"/>
    </xf>
    <xf numFmtId="0" fontId="26" fillId="0" borderId="1" xfId="38" applyFont="1" applyFill="1" applyBorder="1" applyAlignment="1">
      <alignment vertical="center" wrapText="1"/>
    </xf>
    <xf numFmtId="2" fontId="26" fillId="0" borderId="1" xfId="38" applyNumberFormat="1" applyFont="1" applyFill="1" applyBorder="1" applyAlignment="1">
      <alignment vertical="center" wrapText="1"/>
    </xf>
    <xf numFmtId="2" fontId="26" fillId="0" borderId="1" xfId="38" applyNumberFormat="1" applyFont="1" applyFill="1" applyBorder="1" applyAlignment="1">
      <alignment horizontal="right" vertical="center" wrapText="1"/>
    </xf>
    <xf numFmtId="2" fontId="26" fillId="0" borderId="1" xfId="38" applyNumberFormat="1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5" fillId="0" borderId="1" xfId="38" applyFont="1" applyFill="1" applyBorder="1" applyAlignment="1">
      <alignment vertical="center"/>
    </xf>
    <xf numFmtId="0" fontId="25" fillId="0" borderId="1" xfId="38" applyFont="1" applyFill="1" applyBorder="1" applyAlignment="1">
      <alignment horizontal="center" vertical="center"/>
    </xf>
    <xf numFmtId="0" fontId="25" fillId="0" borderId="1" xfId="38" applyFont="1" applyFill="1" applyBorder="1" applyAlignment="1">
      <alignment horizontal="right" vertical="center"/>
    </xf>
    <xf numFmtId="2" fontId="25" fillId="0" borderId="1" xfId="38" applyNumberFormat="1" applyFont="1" applyFill="1" applyBorder="1" applyAlignment="1">
      <alignment horizontal="center" vertical="center"/>
    </xf>
    <xf numFmtId="0" fontId="27" fillId="0" borderId="1" xfId="38" applyFont="1" applyFill="1" applyBorder="1" applyAlignment="1">
      <alignment horizontal="right" vertical="center"/>
    </xf>
    <xf numFmtId="0" fontId="28" fillId="0" borderId="1" xfId="38" applyFont="1" applyFill="1" applyBorder="1" applyAlignment="1">
      <alignment vertical="center" wrapText="1"/>
    </xf>
    <xf numFmtId="0" fontId="26" fillId="0" borderId="3" xfId="38" applyFont="1" applyBorder="1" applyAlignment="1">
      <alignment horizontal="center" vertical="center"/>
    </xf>
    <xf numFmtId="0" fontId="26" fillId="0" borderId="2" xfId="38" applyFont="1" applyBorder="1" applyAlignment="1">
      <alignment horizontal="center" vertical="center" wrapText="1"/>
    </xf>
    <xf numFmtId="0" fontId="26" fillId="0" borderId="3" xfId="38" applyFont="1" applyBorder="1" applyAlignment="1">
      <alignment horizontal="center" vertical="center" wrapText="1"/>
    </xf>
    <xf numFmtId="0" fontId="26" fillId="0" borderId="4" xfId="38" applyFont="1" applyBorder="1" applyAlignment="1">
      <alignment horizontal="center" vertical="center" wrapText="1"/>
    </xf>
    <xf numFmtId="0" fontId="26" fillId="0" borderId="1" xfId="38" applyFont="1" applyBorder="1" applyAlignment="1">
      <alignment horizontal="left" vertical="center"/>
    </xf>
    <xf numFmtId="0" fontId="26" fillId="0" borderId="1" xfId="38" applyFont="1" applyBorder="1" applyAlignment="1">
      <alignment horizontal="right" vertical="center"/>
    </xf>
    <xf numFmtId="0" fontId="26" fillId="0" borderId="1" xfId="38" applyFont="1" applyBorder="1" applyAlignment="1">
      <alignment horizontal="center" vertical="center"/>
    </xf>
    <xf numFmtId="0" fontId="28" fillId="0" borderId="1" xfId="38" applyFont="1" applyFill="1" applyBorder="1" applyAlignment="1">
      <alignment horizontal="left" vertical="center"/>
    </xf>
    <xf numFmtId="0" fontId="26" fillId="0" borderId="1" xfId="38" applyFont="1" applyFill="1" applyBorder="1" applyAlignment="1">
      <alignment horizontal="left" vertical="center"/>
    </xf>
    <xf numFmtId="0" fontId="26" fillId="0" borderId="1" xfId="38" applyFont="1" applyFill="1" applyBorder="1" applyAlignment="1">
      <alignment horizontal="right" vertical="center"/>
    </xf>
    <xf numFmtId="0" fontId="28" fillId="0" borderId="1" xfId="38" applyFont="1" applyFill="1" applyBorder="1" applyAlignment="1">
      <alignment horizontal="center" vertical="center"/>
    </xf>
    <xf numFmtId="0" fontId="26" fillId="0" borderId="1" xfId="38" applyFont="1" applyFill="1" applyBorder="1" applyAlignment="1">
      <alignment horizontal="center" vertical="center"/>
    </xf>
    <xf numFmtId="0" fontId="26" fillId="0" borderId="2" xfId="38" applyFont="1" applyFill="1" applyBorder="1" applyAlignment="1">
      <alignment horizontal="center" vertical="center"/>
    </xf>
    <xf numFmtId="0" fontId="26" fillId="0" borderId="3" xfId="38" applyFont="1" applyFill="1" applyBorder="1" applyAlignment="1">
      <alignment horizontal="center" vertical="center"/>
    </xf>
    <xf numFmtId="0" fontId="26" fillId="0" borderId="4" xfId="38" applyFont="1" applyFill="1" applyBorder="1" applyAlignment="1">
      <alignment horizontal="center" vertical="center"/>
    </xf>
    <xf numFmtId="0" fontId="28" fillId="0" borderId="1" xfId="38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26" fillId="0" borderId="2" xfId="38" applyFont="1" applyFill="1" applyBorder="1" applyAlignment="1">
      <alignment horizontal="left" vertical="center"/>
    </xf>
    <xf numFmtId="0" fontId="26" fillId="0" borderId="3" xfId="38" applyFont="1" applyFill="1" applyBorder="1" applyAlignment="1">
      <alignment horizontal="left" vertical="center"/>
    </xf>
    <xf numFmtId="0" fontId="26" fillId="0" borderId="4" xfId="38" applyFont="1" applyFill="1" applyBorder="1" applyAlignment="1">
      <alignment horizontal="left" vertical="center"/>
    </xf>
    <xf numFmtId="0" fontId="26" fillId="0" borderId="28" xfId="38" applyFont="1" applyFill="1" applyBorder="1" applyAlignment="1">
      <alignment horizontal="left" vertical="center"/>
    </xf>
    <xf numFmtId="0" fontId="28" fillId="0" borderId="1" xfId="38" applyFont="1" applyFill="1" applyBorder="1" applyAlignment="1">
      <alignment horizontal="right" vertical="center" wrapText="1"/>
    </xf>
    <xf numFmtId="0" fontId="26" fillId="0" borderId="1" xfId="38" applyFont="1" applyFill="1" applyBorder="1" applyAlignment="1">
      <alignment vertical="center"/>
    </xf>
    <xf numFmtId="0" fontId="26" fillId="0" borderId="33" xfId="38" applyFont="1" applyFill="1" applyBorder="1" applyAlignment="1">
      <alignment horizontal="left" vertical="center"/>
    </xf>
    <xf numFmtId="0" fontId="26" fillId="0" borderId="35" xfId="38" applyFont="1" applyFill="1" applyBorder="1" applyAlignment="1">
      <alignment horizontal="center" vertical="center"/>
    </xf>
    <xf numFmtId="0" fontId="26" fillId="0" borderId="36" xfId="38" applyFont="1" applyFill="1" applyBorder="1" applyAlignment="1">
      <alignment horizontal="center" vertical="center"/>
    </xf>
    <xf numFmtId="0" fontId="28" fillId="0" borderId="1" xfId="38" applyFont="1" applyFill="1" applyBorder="1" applyAlignment="1">
      <alignment horizontal="center" vertical="center" wrapText="1"/>
    </xf>
    <xf numFmtId="0" fontId="26" fillId="0" borderId="33" xfId="38" applyFont="1" applyFill="1" applyBorder="1" applyAlignment="1">
      <alignment horizontal="center" vertical="center"/>
    </xf>
    <xf numFmtId="0" fontId="26" fillId="0" borderId="0" xfId="38" applyFont="1" applyFill="1" applyBorder="1" applyAlignment="1">
      <alignment horizontal="left" vertical="center"/>
    </xf>
    <xf numFmtId="0" fontId="26" fillId="0" borderId="0" xfId="38" applyFont="1" applyFill="1" applyBorder="1" applyAlignment="1">
      <alignment horizontal="right" vertical="center"/>
    </xf>
    <xf numFmtId="0" fontId="26" fillId="0" borderId="0" xfId="38" applyFont="1" applyFill="1" applyBorder="1" applyAlignment="1">
      <alignment horizontal="center" vertical="center"/>
    </xf>
    <xf numFmtId="0" fontId="29" fillId="0" borderId="1" xfId="38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6" fillId="0" borderId="0" xfId="38" applyFont="1" applyBorder="1" applyAlignment="1">
      <alignment horizontal="left" vertical="center"/>
    </xf>
    <xf numFmtId="0" fontId="26" fillId="0" borderId="0" xfId="38" applyFont="1" applyBorder="1" applyAlignment="1">
      <alignment horizontal="right" vertical="center"/>
    </xf>
    <xf numFmtId="0" fontId="26" fillId="0" borderId="1" xfId="38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right" vertical="center"/>
    </xf>
    <xf numFmtId="0" fontId="26" fillId="6" borderId="1" xfId="38" applyFont="1" applyFill="1" applyBorder="1" applyAlignment="1">
      <alignment horizontal="left" vertical="center"/>
    </xf>
    <xf numFmtId="0" fontId="28" fillId="6" borderId="1" xfId="38" applyFont="1" applyFill="1" applyBorder="1" applyAlignment="1">
      <alignment horizontal="center" vertical="center"/>
    </xf>
    <xf numFmtId="0" fontId="4" fillId="6" borderId="0" xfId="0" applyFont="1" applyFill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28" fillId="6" borderId="1" xfId="38" applyFont="1" applyFill="1" applyBorder="1" applyAlignment="1">
      <alignment horizontal="right" vertical="center"/>
    </xf>
    <xf numFmtId="0" fontId="25" fillId="2" borderId="14" xfId="38" applyFont="1" applyFill="1" applyBorder="1" applyAlignment="1">
      <alignment horizontal="left" vertical="center"/>
    </xf>
    <xf numFmtId="0" fontId="25" fillId="2" borderId="15" xfId="38" applyFont="1" applyFill="1" applyBorder="1" applyAlignment="1">
      <alignment horizontal="left" vertical="center"/>
    </xf>
    <xf numFmtId="0" fontId="25" fillId="2" borderId="18" xfId="38" applyFont="1" applyFill="1" applyBorder="1" applyAlignment="1">
      <alignment horizontal="left" vertical="center"/>
    </xf>
    <xf numFmtId="0" fontId="26" fillId="0" borderId="2" xfId="38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/>
    </xf>
    <xf numFmtId="2" fontId="26" fillId="0" borderId="3" xfId="38" applyNumberFormat="1" applyFont="1" applyFill="1" applyBorder="1" applyAlignment="1">
      <alignment horizontal="right" vertical="center" wrapText="1"/>
    </xf>
    <xf numFmtId="2" fontId="26" fillId="0" borderId="3" xfId="38" applyNumberFormat="1" applyFont="1" applyFill="1" applyBorder="1" applyAlignment="1">
      <alignment vertical="center" wrapText="1"/>
    </xf>
    <xf numFmtId="2" fontId="26" fillId="0" borderId="4" xfId="38" applyNumberFormat="1" applyFont="1" applyFill="1" applyBorder="1" applyAlignment="1">
      <alignment vertical="center" wrapText="1"/>
    </xf>
    <xf numFmtId="2" fontId="28" fillId="0" borderId="1" xfId="38" applyNumberFormat="1" applyFont="1" applyFill="1" applyBorder="1" applyAlignment="1">
      <alignment horizontal="center" vertical="center" wrapText="1"/>
    </xf>
    <xf numFmtId="2" fontId="28" fillId="0" borderId="3" xfId="38" applyNumberFormat="1" applyFont="1" applyFill="1" applyBorder="1" applyAlignment="1">
      <alignment horizontal="center" vertical="center" wrapText="1"/>
    </xf>
    <xf numFmtId="0" fontId="26" fillId="0" borderId="1" xfId="38" applyFont="1" applyBorder="1" applyAlignment="1">
      <alignment vertical="center" wrapText="1"/>
    </xf>
    <xf numFmtId="2" fontId="26" fillId="0" borderId="1" xfId="38" applyNumberFormat="1" applyFont="1" applyBorder="1" applyAlignment="1">
      <alignment horizontal="right" vertical="center" wrapText="1"/>
    </xf>
    <xf numFmtId="0" fontId="25" fillId="2" borderId="3" xfId="38" applyFont="1" applyFill="1" applyBorder="1" applyAlignment="1">
      <alignment horizontal="center" vertical="center" wrapText="1"/>
    </xf>
    <xf numFmtId="0" fontId="25" fillId="2" borderId="4" xfId="38" applyFont="1" applyFill="1" applyBorder="1" applyAlignment="1">
      <alignment horizontal="center" vertical="center" wrapText="1"/>
    </xf>
    <xf numFmtId="2" fontId="25" fillId="2" borderId="4" xfId="38" applyNumberFormat="1" applyFont="1" applyFill="1" applyBorder="1" applyAlignment="1">
      <alignment vertical="center" wrapText="1"/>
    </xf>
    <xf numFmtId="2" fontId="26" fillId="0" borderId="3" xfId="38" applyNumberFormat="1" applyFont="1" applyBorder="1" applyAlignment="1">
      <alignment horizontal="right" vertical="center" wrapText="1"/>
    </xf>
    <xf numFmtId="2" fontId="26" fillId="0" borderId="1" xfId="38" applyNumberFormat="1" applyFont="1" applyBorder="1" applyAlignment="1">
      <alignment vertical="center" wrapText="1"/>
    </xf>
    <xf numFmtId="0" fontId="28" fillId="2" borderId="1" xfId="38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/>
    </xf>
    <xf numFmtId="2" fontId="26" fillId="2" borderId="1" xfId="38" applyNumberFormat="1" applyFont="1" applyFill="1" applyBorder="1" applyAlignment="1">
      <alignment horizontal="right" vertical="center" wrapText="1"/>
    </xf>
    <xf numFmtId="0" fontId="25" fillId="2" borderId="1" xfId="38" applyFont="1" applyFill="1" applyBorder="1" applyAlignment="1">
      <alignment horizontal="right" vertical="center"/>
    </xf>
    <xf numFmtId="0" fontId="25" fillId="2" borderId="1" xfId="38" applyFont="1" applyFill="1" applyBorder="1" applyAlignment="1">
      <alignment horizontal="center" vertical="center"/>
    </xf>
    <xf numFmtId="2" fontId="25" fillId="2" borderId="1" xfId="38" applyNumberFormat="1" applyFont="1" applyFill="1" applyBorder="1" applyAlignment="1">
      <alignment horizontal="center" vertical="center"/>
    </xf>
    <xf numFmtId="0" fontId="25" fillId="2" borderId="2" xfId="38" applyFont="1" applyFill="1" applyBorder="1" applyAlignment="1">
      <alignment horizontal="center" vertical="center" wrapText="1"/>
    </xf>
    <xf numFmtId="0" fontId="28" fillId="2" borderId="2" xfId="38" applyFont="1" applyFill="1" applyBorder="1" applyAlignment="1">
      <alignment vertical="center" wrapText="1"/>
    </xf>
    <xf numFmtId="0" fontId="26" fillId="0" borderId="2" xfId="38" applyFont="1" applyBorder="1" applyAlignment="1">
      <alignment vertical="center" wrapText="1"/>
    </xf>
    <xf numFmtId="0" fontId="25" fillId="2" borderId="1" xfId="38" applyFont="1" applyFill="1" applyBorder="1" applyAlignment="1">
      <alignment horizontal="center" vertical="center" wrapText="1"/>
    </xf>
    <xf numFmtId="2" fontId="25" fillId="2" borderId="1" xfId="38" applyNumberFormat="1" applyFont="1" applyFill="1" applyBorder="1" applyAlignment="1">
      <alignment vertical="center" wrapText="1"/>
    </xf>
    <xf numFmtId="0" fontId="14" fillId="0" borderId="1" xfId="0" applyFont="1" applyBorder="1" applyAlignment="1">
      <alignment horizontal="right" vertical="center"/>
    </xf>
    <xf numFmtId="2" fontId="28" fillId="2" borderId="1" xfId="38" applyNumberFormat="1" applyFont="1" applyFill="1" applyBorder="1" applyAlignment="1">
      <alignment horizontal="right" vertical="center" wrapText="1"/>
    </xf>
    <xf numFmtId="0" fontId="25" fillId="0" borderId="1" xfId="38" applyFont="1" applyBorder="1" applyAlignment="1">
      <alignment horizontal="center" vertical="center" wrapText="1"/>
    </xf>
    <xf numFmtId="0" fontId="26" fillId="0" borderId="28" xfId="38" applyFont="1" applyFill="1" applyBorder="1" applyAlignment="1">
      <alignment vertical="center" wrapText="1"/>
    </xf>
    <xf numFmtId="2" fontId="26" fillId="0" borderId="28" xfId="38" applyNumberFormat="1" applyFont="1" applyFill="1" applyBorder="1" applyAlignment="1">
      <alignment horizontal="right" vertical="center" wrapText="1"/>
    </xf>
    <xf numFmtId="0" fontId="26" fillId="0" borderId="1" xfId="38" applyFont="1" applyBorder="1" applyAlignment="1">
      <alignment horizontal="center" vertical="center" wrapText="1"/>
    </xf>
    <xf numFmtId="0" fontId="26" fillId="0" borderId="1" xfId="38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/>
    </xf>
    <xf numFmtId="2" fontId="26" fillId="0" borderId="1" xfId="38" applyNumberFormat="1" applyFont="1" applyBorder="1" applyAlignment="1">
      <alignment horizontal="center" vertical="center" wrapText="1"/>
    </xf>
    <xf numFmtId="0" fontId="25" fillId="2" borderId="3" xfId="38" applyFont="1" applyFill="1" applyBorder="1" applyAlignment="1">
      <alignment horizontal="right" vertical="center"/>
    </xf>
    <xf numFmtId="0" fontId="25" fillId="0" borderId="2" xfId="38" applyFont="1" applyFill="1" applyBorder="1" applyAlignment="1">
      <alignment horizontal="center" vertical="center"/>
    </xf>
    <xf numFmtId="0" fontId="25" fillId="0" borderId="4" xfId="38" applyFont="1" applyFill="1" applyBorder="1" applyAlignment="1">
      <alignment horizontal="center" vertical="center"/>
    </xf>
    <xf numFmtId="0" fontId="27" fillId="0" borderId="1" xfId="38" applyFont="1" applyFill="1" applyBorder="1" applyAlignment="1">
      <alignment vertical="center"/>
    </xf>
    <xf numFmtId="0" fontId="26" fillId="0" borderId="28" xfId="38" applyFont="1" applyBorder="1" applyAlignment="1">
      <alignment vertical="center" wrapText="1"/>
    </xf>
    <xf numFmtId="2" fontId="26" fillId="0" borderId="28" xfId="38" applyNumberFormat="1" applyFont="1" applyBorder="1" applyAlignment="1">
      <alignment vertical="center" wrapText="1"/>
    </xf>
    <xf numFmtId="2" fontId="26" fillId="0" borderId="28" xfId="38" applyNumberFormat="1" applyFont="1" applyBorder="1" applyAlignment="1">
      <alignment horizontal="right" vertical="center" wrapText="1"/>
    </xf>
    <xf numFmtId="2" fontId="26" fillId="0" borderId="28" xfId="38" applyNumberFormat="1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0" fontId="14" fillId="0" borderId="4" xfId="0" applyFont="1" applyBorder="1" applyAlignment="1">
      <alignment vertical="center"/>
    </xf>
    <xf numFmtId="0" fontId="25" fillId="2" borderId="1" xfId="38" applyFont="1" applyFill="1" applyBorder="1" applyAlignment="1">
      <alignment vertical="center"/>
    </xf>
    <xf numFmtId="0" fontId="27" fillId="0" borderId="28" xfId="38" applyFont="1" applyFill="1" applyBorder="1" applyAlignment="1">
      <alignment vertical="center"/>
    </xf>
    <xf numFmtId="0" fontId="25" fillId="0" borderId="28" xfId="38" applyFont="1" applyFill="1" applyBorder="1" applyAlignment="1">
      <alignment horizontal="center" vertical="center"/>
    </xf>
    <xf numFmtId="0" fontId="25" fillId="0" borderId="28" xfId="38" applyFont="1" applyFill="1" applyBorder="1" applyAlignment="1">
      <alignment horizontal="right" vertical="center"/>
    </xf>
    <xf numFmtId="0" fontId="27" fillId="0" borderId="1" xfId="38" applyFont="1" applyFill="1" applyBorder="1" applyAlignment="1">
      <alignment horizontal="center" vertical="center"/>
    </xf>
    <xf numFmtId="0" fontId="27" fillId="0" borderId="28" xfId="38" applyFont="1" applyFill="1" applyBorder="1" applyAlignment="1">
      <alignment horizontal="right" vertical="center"/>
    </xf>
    <xf numFmtId="0" fontId="27" fillId="0" borderId="28" xfId="38" applyFont="1" applyFill="1" applyBorder="1" applyAlignment="1">
      <alignment horizontal="center" vertical="center"/>
    </xf>
    <xf numFmtId="0" fontId="27" fillId="0" borderId="28" xfId="38" applyFont="1" applyFill="1" applyBorder="1" applyAlignment="1">
      <alignment horizontal="left" vertical="center"/>
    </xf>
    <xf numFmtId="0" fontId="27" fillId="0" borderId="15" xfId="38" applyFont="1" applyFill="1" applyBorder="1" applyAlignment="1">
      <alignment horizontal="left" vertical="center"/>
    </xf>
    <xf numFmtId="0" fontId="27" fillId="0" borderId="15" xfId="38" applyFont="1" applyFill="1" applyBorder="1" applyAlignment="1">
      <alignment horizontal="right" vertical="center"/>
    </xf>
    <xf numFmtId="0" fontId="27" fillId="0" borderId="14" xfId="38" applyFont="1" applyFill="1" applyBorder="1" applyAlignment="1">
      <alignment horizontal="left" vertical="center"/>
    </xf>
    <xf numFmtId="0" fontId="27" fillId="0" borderId="15" xfId="38" applyFont="1" applyFill="1" applyBorder="1" applyAlignment="1">
      <alignment horizontal="center" vertical="center"/>
    </xf>
    <xf numFmtId="0" fontId="27" fillId="0" borderId="1" xfId="38" applyFont="1" applyFill="1" applyBorder="1" applyAlignment="1">
      <alignment horizontal="left" vertical="center"/>
    </xf>
    <xf numFmtId="2" fontId="27" fillId="0" borderId="28" xfId="38" applyNumberFormat="1" applyFont="1" applyFill="1" applyBorder="1" applyAlignment="1">
      <alignment horizontal="right" vertical="center"/>
    </xf>
    <xf numFmtId="0" fontId="27" fillId="0" borderId="14" xfId="38" applyFont="1" applyBorder="1" applyAlignment="1">
      <alignment horizontal="left" vertical="center"/>
    </xf>
    <xf numFmtId="0" fontId="25" fillId="0" borderId="15" xfId="38" applyFont="1" applyBorder="1" applyAlignment="1">
      <alignment horizontal="center" vertical="center"/>
    </xf>
    <xf numFmtId="0" fontId="25" fillId="0" borderId="15" xfId="38" applyFont="1" applyBorder="1" applyAlignment="1">
      <alignment horizontal="right" vertical="center"/>
    </xf>
    <xf numFmtId="0" fontId="25" fillId="2" borderId="28" xfId="38" applyFont="1" applyFill="1" applyBorder="1" applyAlignment="1">
      <alignment horizontal="left" vertical="center" wrapText="1"/>
    </xf>
    <xf numFmtId="0" fontId="25" fillId="2" borderId="28" xfId="38" applyFont="1" applyFill="1" applyBorder="1" applyAlignment="1">
      <alignment horizontal="right" vertical="center" wrapText="1"/>
    </xf>
    <xf numFmtId="0" fontId="25" fillId="2" borderId="1" xfId="38" applyFont="1" applyFill="1" applyBorder="1" applyAlignment="1">
      <alignment horizontal="right" vertical="center" wrapText="1"/>
    </xf>
    <xf numFmtId="2" fontId="28" fillId="0" borderId="1" xfId="38" applyNumberFormat="1" applyFont="1" applyFill="1" applyBorder="1" applyAlignment="1">
      <alignment horizontal="right" vertical="center" wrapText="1"/>
    </xf>
    <xf numFmtId="0" fontId="25" fillId="2" borderId="1" xfId="38" applyFont="1" applyFill="1" applyBorder="1" applyAlignment="1">
      <alignment horizontal="left" vertical="center" wrapText="1"/>
    </xf>
    <xf numFmtId="0" fontId="25" fillId="14" borderId="1" xfId="38" applyFont="1" applyFill="1" applyBorder="1" applyAlignment="1">
      <alignment vertical="center"/>
    </xf>
    <xf numFmtId="0" fontId="25" fillId="14" borderId="1" xfId="38" applyFont="1" applyFill="1" applyBorder="1" applyAlignment="1">
      <alignment horizontal="center" vertical="center"/>
    </xf>
    <xf numFmtId="0" fontId="25" fillId="14" borderId="1" xfId="38" applyFont="1" applyFill="1" applyBorder="1" applyAlignment="1">
      <alignment horizontal="right" vertical="center"/>
    </xf>
    <xf numFmtId="0" fontId="26" fillId="0" borderId="0" xfId="38" applyFont="1" applyBorder="1" applyAlignment="1">
      <alignment horizontal="center" vertical="center"/>
    </xf>
    <xf numFmtId="0" fontId="25" fillId="0" borderId="1" xfId="38" applyFont="1" applyFill="1" applyBorder="1" applyAlignment="1">
      <alignment horizontal="left" vertical="center"/>
    </xf>
    <xf numFmtId="2" fontId="26" fillId="0" borderId="1" xfId="38" applyNumberFormat="1" applyFont="1" applyFill="1" applyBorder="1" applyAlignment="1">
      <alignment horizontal="right" vertical="center"/>
    </xf>
    <xf numFmtId="0" fontId="26" fillId="0" borderId="1" xfId="38" applyFont="1" applyBorder="1" applyAlignment="1">
      <alignment horizontal="left" vertical="center" wrapText="1"/>
    </xf>
    <xf numFmtId="2" fontId="26" fillId="0" borderId="1" xfId="38" applyNumberFormat="1" applyFont="1" applyBorder="1" applyAlignment="1">
      <alignment horizontal="right" vertical="center"/>
    </xf>
    <xf numFmtId="2" fontId="28" fillId="0" borderId="1" xfId="38" applyNumberFormat="1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49" fontId="25" fillId="0" borderId="1" xfId="0" applyNumberFormat="1" applyFont="1" applyFill="1" applyBorder="1" applyAlignment="1">
      <alignment vertical="center" wrapText="1"/>
    </xf>
    <xf numFmtId="0" fontId="27" fillId="0" borderId="2" xfId="0" applyFont="1" applyFill="1" applyBorder="1" applyAlignment="1">
      <alignment vertical="center" wrapText="1"/>
    </xf>
    <xf numFmtId="2" fontId="26" fillId="0" borderId="15" xfId="38" applyNumberFormat="1" applyFont="1" applyFill="1" applyBorder="1" applyAlignment="1">
      <alignment vertical="center" wrapText="1"/>
    </xf>
    <xf numFmtId="2" fontId="28" fillId="0" borderId="17" xfId="38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center"/>
    </xf>
    <xf numFmtId="0" fontId="25" fillId="0" borderId="3" xfId="38" applyFont="1" applyFill="1" applyBorder="1" applyAlignment="1">
      <alignment vertical="center" wrapText="1"/>
    </xf>
    <xf numFmtId="0" fontId="25" fillId="0" borderId="3" xfId="38" applyFont="1" applyFill="1" applyBorder="1" applyAlignment="1">
      <alignment horizontal="center" vertical="center" wrapText="1"/>
    </xf>
    <xf numFmtId="2" fontId="28" fillId="0" borderId="35" xfId="38" applyNumberFormat="1" applyFont="1" applyFill="1" applyBorder="1" applyAlignment="1">
      <alignment horizontal="center" vertical="center" wrapText="1"/>
    </xf>
    <xf numFmtId="2" fontId="28" fillId="0" borderId="36" xfId="38" applyNumberFormat="1" applyFont="1" applyFill="1" applyBorder="1" applyAlignment="1">
      <alignment horizontal="center" vertical="center" wrapText="1"/>
    </xf>
    <xf numFmtId="0" fontId="26" fillId="0" borderId="28" xfId="38" applyFont="1" applyFill="1" applyBorder="1" applyAlignment="1">
      <alignment horizontal="center" vertical="center" wrapText="1"/>
    </xf>
    <xf numFmtId="0" fontId="26" fillId="0" borderId="33" xfId="38" applyFont="1" applyFill="1" applyBorder="1" applyAlignment="1">
      <alignment horizontal="center" vertical="center" wrapText="1"/>
    </xf>
    <xf numFmtId="0" fontId="26" fillId="0" borderId="3" xfId="38" applyFont="1" applyFill="1" applyBorder="1" applyAlignment="1">
      <alignment vertical="center" wrapText="1"/>
    </xf>
    <xf numFmtId="0" fontId="25" fillId="0" borderId="3" xfId="38" applyFont="1" applyFill="1" applyBorder="1" applyAlignment="1">
      <alignment horizontal="right" vertical="center" wrapText="1"/>
    </xf>
    <xf numFmtId="0" fontId="25" fillId="0" borderId="4" xfId="38" applyFont="1" applyBorder="1" applyAlignment="1">
      <alignment horizontal="center" vertical="center"/>
    </xf>
    <xf numFmtId="0" fontId="28" fillId="0" borderId="28" xfId="38" applyFont="1" applyFill="1" applyBorder="1" applyAlignment="1">
      <alignment vertical="center" wrapText="1"/>
    </xf>
    <xf numFmtId="2" fontId="27" fillId="0" borderId="4" xfId="0" applyNumberFormat="1" applyFont="1" applyFill="1" applyBorder="1" applyAlignment="1">
      <alignment horizontal="right" vertical="center" wrapText="1"/>
    </xf>
    <xf numFmtId="0" fontId="25" fillId="10" borderId="2" xfId="38" applyFont="1" applyFill="1" applyBorder="1" applyAlignment="1">
      <alignment horizontal="center" vertical="center" wrapText="1"/>
    </xf>
    <xf numFmtId="0" fontId="25" fillId="10" borderId="4" xfId="38" applyFont="1" applyFill="1" applyBorder="1" applyAlignment="1">
      <alignment horizontal="center" vertical="center" wrapText="1"/>
    </xf>
    <xf numFmtId="2" fontId="25" fillId="10" borderId="4" xfId="38" applyNumberFormat="1" applyFont="1" applyFill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188" fontId="26" fillId="0" borderId="1" xfId="38" applyNumberFormat="1" applyFont="1" applyFill="1" applyBorder="1" applyAlignment="1">
      <alignment vertical="center" wrapText="1"/>
    </xf>
    <xf numFmtId="0" fontId="25" fillId="0" borderId="1" xfId="38" applyFont="1" applyFill="1" applyBorder="1" applyAlignment="1">
      <alignment horizontal="center" vertical="center" wrapText="1"/>
    </xf>
    <xf numFmtId="0" fontId="27" fillId="0" borderId="1" xfId="38" applyFont="1" applyFill="1" applyBorder="1" applyAlignment="1">
      <alignment horizontal="left" vertical="center" wrapText="1"/>
    </xf>
    <xf numFmtId="0" fontId="25" fillId="0" borderId="1" xfId="38" applyFont="1" applyFill="1" applyBorder="1" applyAlignment="1">
      <alignment horizontal="right" vertical="center" wrapText="1"/>
    </xf>
    <xf numFmtId="0" fontId="27" fillId="0" borderId="1" xfId="38" applyFont="1" applyFill="1" applyBorder="1" applyAlignment="1">
      <alignment horizontal="right" vertical="center" wrapText="1"/>
    </xf>
    <xf numFmtId="2" fontId="27" fillId="0" borderId="1" xfId="38" applyNumberFormat="1" applyFont="1" applyFill="1" applyBorder="1" applyAlignment="1">
      <alignment horizontal="right" vertical="center" wrapText="1"/>
    </xf>
    <xf numFmtId="0" fontId="25" fillId="9" borderId="2" xfId="38" applyFont="1" applyFill="1" applyBorder="1" applyAlignment="1">
      <alignment horizontal="left" vertical="center"/>
    </xf>
    <xf numFmtId="0" fontId="25" fillId="9" borderId="3" xfId="38" applyFont="1" applyFill="1" applyBorder="1" applyAlignment="1">
      <alignment horizontal="left" vertical="center"/>
    </xf>
    <xf numFmtId="0" fontId="25" fillId="9" borderId="4" xfId="38" applyFont="1" applyFill="1" applyBorder="1" applyAlignment="1">
      <alignment horizontal="left" vertical="center"/>
    </xf>
    <xf numFmtId="0" fontId="25" fillId="0" borderId="1" xfId="38" applyFont="1" applyFill="1" applyBorder="1" applyAlignment="1">
      <alignment vertical="center" wrapText="1"/>
    </xf>
    <xf numFmtId="2" fontId="25" fillId="0" borderId="1" xfId="38" applyNumberFormat="1" applyFont="1" applyFill="1" applyBorder="1" applyAlignment="1">
      <alignment horizontal="center" vertical="center" wrapText="1"/>
    </xf>
    <xf numFmtId="0" fontId="25" fillId="6" borderId="1" xfId="38" applyFont="1" applyFill="1" applyBorder="1" applyAlignment="1">
      <alignment vertical="center" wrapText="1"/>
    </xf>
    <xf numFmtId="0" fontId="25" fillId="6" borderId="28" xfId="38" applyFont="1" applyFill="1" applyBorder="1" applyAlignment="1">
      <alignment horizontal="center" vertical="center" wrapText="1"/>
    </xf>
    <xf numFmtId="0" fontId="27" fillId="6" borderId="1" xfId="38" applyFont="1" applyFill="1" applyBorder="1" applyAlignment="1">
      <alignment horizontal="right" vertical="center" wrapText="1"/>
    </xf>
    <xf numFmtId="0" fontId="27" fillId="6" borderId="1" xfId="38" applyFont="1" applyFill="1" applyBorder="1" applyAlignment="1">
      <alignment horizontal="center" vertical="center" wrapText="1"/>
    </xf>
    <xf numFmtId="2" fontId="27" fillId="6" borderId="1" xfId="38" applyNumberFormat="1" applyFont="1" applyFill="1" applyBorder="1" applyAlignment="1">
      <alignment horizontal="center" vertical="center" wrapText="1"/>
    </xf>
    <xf numFmtId="0" fontId="27" fillId="0" borderId="1" xfId="38" applyFont="1" applyFill="1" applyBorder="1" applyAlignment="1">
      <alignment vertical="center" wrapText="1"/>
    </xf>
    <xf numFmtId="0" fontId="27" fillId="0" borderId="28" xfId="38" applyFont="1" applyFill="1" applyBorder="1" applyAlignment="1">
      <alignment horizontal="center" vertical="center" wrapText="1"/>
    </xf>
    <xf numFmtId="0" fontId="27" fillId="0" borderId="28" xfId="38" applyFont="1" applyFill="1" applyBorder="1" applyAlignment="1">
      <alignment horizontal="right" vertical="center" wrapText="1"/>
    </xf>
    <xf numFmtId="0" fontId="27" fillId="0" borderId="1" xfId="38" applyFont="1" applyFill="1" applyBorder="1" applyAlignment="1">
      <alignment horizontal="center" vertical="center" wrapText="1"/>
    </xf>
    <xf numFmtId="2" fontId="27" fillId="0" borderId="1" xfId="38" applyNumberFormat="1" applyFont="1" applyFill="1" applyBorder="1" applyAlignment="1">
      <alignment horizontal="center" vertical="center" wrapText="1"/>
    </xf>
    <xf numFmtId="0" fontId="27" fillId="0" borderId="37" xfId="38" applyFont="1" applyFill="1" applyBorder="1" applyAlignment="1">
      <alignment horizontal="right" vertical="center" wrapText="1"/>
    </xf>
    <xf numFmtId="0" fontId="27" fillId="0" borderId="33" xfId="38" applyFont="1" applyFill="1" applyBorder="1" applyAlignment="1">
      <alignment horizontal="right" vertical="center" wrapText="1"/>
    </xf>
    <xf numFmtId="0" fontId="31" fillId="0" borderId="1" xfId="38" applyFont="1" applyBorder="1" applyAlignment="1">
      <alignment vertical="center" wrapText="1"/>
    </xf>
    <xf numFmtId="0" fontId="31" fillId="0" borderId="28" xfId="38" applyFont="1" applyBorder="1" applyAlignment="1">
      <alignment horizontal="center" vertical="center" wrapText="1"/>
    </xf>
    <xf numFmtId="0" fontId="31" fillId="0" borderId="1" xfId="38" applyFont="1" applyBorder="1" applyAlignment="1">
      <alignment horizontal="right" vertical="center" wrapText="1"/>
    </xf>
    <xf numFmtId="0" fontId="31" fillId="0" borderId="1" xfId="38" applyFont="1" applyBorder="1" applyAlignment="1">
      <alignment horizontal="center" vertical="center" wrapText="1"/>
    </xf>
    <xf numFmtId="2" fontId="31" fillId="0" borderId="1" xfId="38" applyNumberFormat="1" applyFont="1" applyBorder="1" applyAlignment="1">
      <alignment horizontal="center" vertical="center" wrapText="1"/>
    </xf>
    <xf numFmtId="0" fontId="0" fillId="15" borderId="0" xfId="0" applyFont="1" applyFill="1" applyAlignment="1">
      <alignment vertical="center"/>
    </xf>
    <xf numFmtId="0" fontId="27" fillId="0" borderId="28" xfId="38" applyFont="1" applyFill="1" applyBorder="1" applyAlignment="1">
      <alignment vertical="center" wrapText="1"/>
    </xf>
    <xf numFmtId="0" fontId="25" fillId="6" borderId="1" xfId="38" applyFont="1" applyFill="1" applyBorder="1" applyAlignment="1">
      <alignment horizontal="right" vertical="center" wrapText="1"/>
    </xf>
    <xf numFmtId="0" fontId="25" fillId="6" borderId="1" xfId="38" applyFont="1" applyFill="1" applyBorder="1" applyAlignment="1">
      <alignment horizontal="center" vertical="center" wrapText="1"/>
    </xf>
    <xf numFmtId="2" fontId="25" fillId="6" borderId="1" xfId="38" applyNumberFormat="1" applyFont="1" applyFill="1" applyBorder="1" applyAlignment="1">
      <alignment horizontal="center" vertical="center" wrapText="1"/>
    </xf>
    <xf numFmtId="0" fontId="31" fillId="6" borderId="1" xfId="38" applyFont="1" applyFill="1" applyBorder="1" applyAlignment="1">
      <alignment horizontal="right" vertical="center" wrapText="1"/>
    </xf>
    <xf numFmtId="0" fontId="31" fillId="6" borderId="1" xfId="38" applyFont="1" applyFill="1" applyBorder="1" applyAlignment="1">
      <alignment horizontal="center" vertical="center" wrapText="1"/>
    </xf>
    <xf numFmtId="2" fontId="31" fillId="6" borderId="1" xfId="38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2" fillId="0" borderId="0" xfId="0" applyFont="1" applyFill="1" applyAlignment="1">
      <alignment vertical="center"/>
    </xf>
    <xf numFmtId="0" fontId="33" fillId="0" borderId="1" xfId="38" applyFont="1" applyBorder="1" applyAlignment="1">
      <alignment horizontal="right" vertical="center" wrapText="1"/>
    </xf>
    <xf numFmtId="0" fontId="31" fillId="0" borderId="1" xfId="38" applyFont="1" applyFill="1" applyBorder="1" applyAlignment="1">
      <alignment horizontal="right" vertical="center" wrapText="1"/>
    </xf>
    <xf numFmtId="0" fontId="31" fillId="0" borderId="1" xfId="38" applyFont="1" applyFill="1" applyBorder="1" applyAlignment="1">
      <alignment horizontal="center" vertical="center" wrapText="1"/>
    </xf>
    <xf numFmtId="2" fontId="31" fillId="0" borderId="1" xfId="38" applyNumberFormat="1" applyFont="1" applyFill="1" applyBorder="1" applyAlignment="1">
      <alignment horizontal="center" vertical="center" wrapText="1"/>
    </xf>
    <xf numFmtId="0" fontId="27" fillId="0" borderId="1" xfId="38" applyFont="1" applyBorder="1" applyAlignment="1">
      <alignment vertical="center" wrapText="1"/>
    </xf>
    <xf numFmtId="0" fontId="27" fillId="0" borderId="28" xfId="38" applyFont="1" applyBorder="1" applyAlignment="1">
      <alignment horizontal="center" vertical="center" wrapText="1"/>
    </xf>
    <xf numFmtId="0" fontId="27" fillId="0" borderId="1" xfId="38" applyFont="1" applyBorder="1" applyAlignment="1">
      <alignment horizontal="right" vertical="center" wrapText="1"/>
    </xf>
    <xf numFmtId="0" fontId="27" fillId="0" borderId="1" xfId="38" applyFont="1" applyBorder="1" applyAlignment="1">
      <alignment horizontal="center" vertical="center" wrapText="1"/>
    </xf>
    <xf numFmtId="2" fontId="27" fillId="0" borderId="1" xfId="38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1" fillId="0" borderId="1" xfId="38" applyFont="1" applyFill="1" applyBorder="1" applyAlignment="1">
      <alignment vertical="center" wrapText="1"/>
    </xf>
    <xf numFmtId="0" fontId="31" fillId="0" borderId="28" xfId="38" applyFont="1" applyFill="1" applyBorder="1" applyAlignment="1">
      <alignment horizontal="center" vertical="center" wrapText="1"/>
    </xf>
    <xf numFmtId="0" fontId="33" fillId="0" borderId="33" xfId="38" applyFont="1" applyBorder="1" applyAlignment="1">
      <alignment horizontal="center" vertical="center" wrapText="1"/>
    </xf>
    <xf numFmtId="2" fontId="33" fillId="0" borderId="1" xfId="38" applyNumberFormat="1" applyFont="1" applyBorder="1" applyAlignment="1">
      <alignment horizontal="center" vertical="center"/>
    </xf>
    <xf numFmtId="2" fontId="33" fillId="0" borderId="33" xfId="38" applyNumberFormat="1" applyFont="1" applyBorder="1" applyAlignment="1">
      <alignment horizontal="right" vertical="center" wrapText="1"/>
    </xf>
    <xf numFmtId="2" fontId="33" fillId="0" borderId="33" xfId="38" applyNumberFormat="1" applyFont="1" applyBorder="1" applyAlignment="1">
      <alignment horizontal="right" vertical="center"/>
    </xf>
    <xf numFmtId="0" fontId="25" fillId="9" borderId="2" xfId="38" applyFont="1" applyFill="1" applyBorder="1" applyAlignment="1">
      <alignment horizontal="center" vertical="center" wrapText="1"/>
    </xf>
    <xf numFmtId="0" fontId="25" fillId="9" borderId="4" xfId="38" applyFont="1" applyFill="1" applyBorder="1" applyAlignment="1">
      <alignment horizontal="center" vertical="center" wrapText="1"/>
    </xf>
    <xf numFmtId="2" fontId="25" fillId="9" borderId="4" xfId="38" applyNumberFormat="1" applyFont="1" applyFill="1" applyBorder="1" applyAlignment="1">
      <alignment vertical="center" wrapText="1"/>
    </xf>
    <xf numFmtId="0" fontId="27" fillId="0" borderId="33" xfId="38" applyFont="1" applyBorder="1" applyAlignment="1">
      <alignment horizontal="center" vertical="center" wrapText="1"/>
    </xf>
    <xf numFmtId="2" fontId="27" fillId="0" borderId="33" xfId="38" applyNumberFormat="1" applyFont="1" applyBorder="1" applyAlignment="1">
      <alignment horizontal="center" vertical="center"/>
    </xf>
    <xf numFmtId="2" fontId="27" fillId="0" borderId="33" xfId="38" applyNumberFormat="1" applyFont="1" applyBorder="1" applyAlignment="1">
      <alignment horizontal="right" vertical="center" wrapText="1"/>
    </xf>
    <xf numFmtId="2" fontId="27" fillId="0" borderId="33" xfId="38" applyNumberFormat="1" applyFont="1" applyBorder="1" applyAlignment="1">
      <alignment horizontal="right" vertical="center"/>
    </xf>
    <xf numFmtId="2" fontId="27" fillId="0" borderId="33" xfId="38" applyNumberFormat="1" applyFont="1" applyBorder="1" applyAlignment="1">
      <alignment horizontal="center" vertical="center" wrapText="1"/>
    </xf>
    <xf numFmtId="1" fontId="27" fillId="0" borderId="33" xfId="38" applyNumberFormat="1" applyFont="1" applyBorder="1" applyAlignment="1">
      <alignment horizontal="center" vertical="center"/>
    </xf>
    <xf numFmtId="2" fontId="33" fillId="0" borderId="33" xfId="38" applyNumberFormat="1" applyFont="1" applyBorder="1" applyAlignment="1">
      <alignment horizontal="center" vertical="center"/>
    </xf>
    <xf numFmtId="2" fontId="33" fillId="0" borderId="33" xfId="38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58" fontId="34" fillId="0" borderId="0" xfId="0" applyNumberFormat="1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2" fontId="34" fillId="2" borderId="1" xfId="0" applyNumberFormat="1" applyFont="1" applyFill="1" applyBorder="1" applyAlignment="1">
      <alignment horizontal="center" vertical="center"/>
    </xf>
    <xf numFmtId="2" fontId="34" fillId="2" borderId="28" xfId="0" applyNumberFormat="1" applyFont="1" applyFill="1" applyBorder="1" applyAlignment="1">
      <alignment horizontal="center" vertical="center" wrapText="1"/>
    </xf>
    <xf numFmtId="2" fontId="34" fillId="2" borderId="33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2" fontId="0" fillId="0" borderId="1" xfId="0" applyNumberFormat="1" applyFill="1" applyBorder="1" applyAlignment="1">
      <alignment vertical="center"/>
    </xf>
    <xf numFmtId="10" fontId="0" fillId="0" borderId="1" xfId="7" applyNumberFormat="1" applyFont="1" applyFill="1" applyBorder="1" applyAlignment="1">
      <alignment vertical="center"/>
    </xf>
    <xf numFmtId="10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0" fillId="0" borderId="16" xfId="0" applyBorder="1" applyAlignment="1">
      <alignment horizontal="center"/>
    </xf>
    <xf numFmtId="2" fontId="0" fillId="0" borderId="0" xfId="0" applyNumberFormat="1"/>
    <xf numFmtId="0" fontId="0" fillId="14" borderId="1" xfId="0" applyFont="1" applyFill="1" applyBorder="1" applyAlignment="1">
      <alignment horizontal="center" vertical="center" textRotation="255"/>
    </xf>
    <xf numFmtId="0" fontId="0" fillId="7" borderId="1" xfId="0" applyFont="1" applyFill="1" applyBorder="1" applyAlignment="1">
      <alignment horizontal="center" vertical="center" textRotation="255"/>
    </xf>
    <xf numFmtId="0" fontId="0" fillId="7" borderId="1" xfId="0" applyFill="1" applyBorder="1" applyAlignment="1">
      <alignment horizontal="center" vertical="center" textRotation="255"/>
    </xf>
    <xf numFmtId="0" fontId="0" fillId="16" borderId="1" xfId="0" applyFont="1" applyFill="1" applyBorder="1" applyAlignment="1">
      <alignment horizontal="center" vertical="center" textRotation="255"/>
    </xf>
    <xf numFmtId="0" fontId="0" fillId="16" borderId="1" xfId="0" applyFill="1" applyBorder="1" applyAlignment="1">
      <alignment horizontal="center" vertical="center" textRotation="255"/>
    </xf>
    <xf numFmtId="10" fontId="0" fillId="0" borderId="0" xfId="7" applyNumberFormat="1" applyFont="1" applyFill="1"/>
    <xf numFmtId="10" fontId="0" fillId="0" borderId="0" xfId="0" applyNumberFormat="1"/>
    <xf numFmtId="10" fontId="0" fillId="0" borderId="0" xfId="7" applyNumberFormat="1" applyFont="1"/>
    <xf numFmtId="0" fontId="0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0" fillId="0" borderId="0" xfId="0" applyFont="1"/>
    <xf numFmtId="0" fontId="22" fillId="9" borderId="16" xfId="0" applyFont="1" applyFill="1" applyBorder="1" applyAlignment="1">
      <alignment horizontal="center" vertical="center"/>
    </xf>
    <xf numFmtId="0" fontId="22" fillId="9" borderId="0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2" fillId="9" borderId="2" xfId="0" applyFont="1" applyFill="1" applyBorder="1" applyAlignment="1">
      <alignment horizontal="left" vertical="center" wrapText="1"/>
    </xf>
    <xf numFmtId="0" fontId="22" fillId="9" borderId="3" xfId="0" applyFont="1" applyFill="1" applyBorder="1" applyAlignment="1">
      <alignment horizontal="left" vertical="center" wrapText="1"/>
    </xf>
    <xf numFmtId="0" fontId="35" fillId="9" borderId="1" xfId="0" applyFont="1" applyFill="1" applyBorder="1" applyAlignment="1">
      <alignment horizontal="center" vertical="center"/>
    </xf>
    <xf numFmtId="0" fontId="35" fillId="9" borderId="1" xfId="0" applyFon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10" fontId="24" fillId="0" borderId="1" xfId="7" applyNumberFormat="1" applyFont="1" applyBorder="1" applyAlignment="1">
      <alignment horizontal="right" vertical="center"/>
    </xf>
    <xf numFmtId="10" fontId="24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0" fontId="24" fillId="17" borderId="1" xfId="0" applyFont="1" applyFill="1" applyBorder="1" applyAlignment="1">
      <alignment horizontal="right"/>
    </xf>
    <xf numFmtId="0" fontId="24" fillId="0" borderId="1" xfId="0" applyFont="1" applyBorder="1" applyAlignment="1">
      <alignment horizontal="right"/>
    </xf>
    <xf numFmtId="4" fontId="24" fillId="0" borderId="1" xfId="0" applyNumberFormat="1" applyFont="1" applyBorder="1" applyAlignment="1">
      <alignment horizontal="right" vertical="center"/>
    </xf>
    <xf numFmtId="0" fontId="24" fillId="0" borderId="1" xfId="0" applyFont="1" applyFill="1" applyBorder="1" applyAlignment="1">
      <alignment horizontal="right"/>
    </xf>
    <xf numFmtId="10" fontId="24" fillId="0" borderId="1" xfId="0" applyNumberFormat="1" applyFont="1" applyBorder="1" applyAlignment="1">
      <alignment horizontal="right" vertical="center"/>
    </xf>
    <xf numFmtId="0" fontId="24" fillId="17" borderId="1" xfId="0" applyFont="1" applyFill="1" applyBorder="1" applyAlignment="1">
      <alignment horizontal="right" vertical="center"/>
    </xf>
    <xf numFmtId="10" fontId="24" fillId="0" borderId="28" xfId="0" applyNumberFormat="1" applyFont="1" applyBorder="1" applyAlignment="1">
      <alignment horizontal="right" vertical="center"/>
    </xf>
    <xf numFmtId="4" fontId="24" fillId="0" borderId="37" xfId="0" applyNumberFormat="1" applyFont="1" applyBorder="1" applyAlignment="1">
      <alignment horizontal="right"/>
    </xf>
    <xf numFmtId="0" fontId="24" fillId="0" borderId="1" xfId="0" applyFont="1" applyBorder="1" applyAlignment="1">
      <alignment horizontal="right" vertical="center"/>
    </xf>
    <xf numFmtId="0" fontId="24" fillId="0" borderId="1" xfId="0" applyFont="1" applyFill="1" applyBorder="1" applyAlignment="1">
      <alignment horizontal="right" vertical="center"/>
    </xf>
    <xf numFmtId="0" fontId="24" fillId="0" borderId="28" xfId="0" applyFont="1" applyBorder="1" applyAlignment="1">
      <alignment vertical="center"/>
    </xf>
    <xf numFmtId="0" fontId="24" fillId="0" borderId="37" xfId="0" applyFont="1" applyBorder="1" applyAlignment="1">
      <alignment vertical="center"/>
    </xf>
    <xf numFmtId="0" fontId="24" fillId="0" borderId="33" xfId="0" applyFont="1" applyBorder="1" applyAlignment="1">
      <alignment vertical="center"/>
    </xf>
    <xf numFmtId="0" fontId="24" fillId="0" borderId="28" xfId="0" applyFont="1" applyBorder="1" applyAlignment="1">
      <alignment vertical="center" wrapText="1"/>
    </xf>
    <xf numFmtId="0" fontId="24" fillId="0" borderId="37" xfId="0" applyFont="1" applyBorder="1" applyAlignment="1">
      <alignment vertical="center" wrapText="1"/>
    </xf>
    <xf numFmtId="0" fontId="24" fillId="0" borderId="33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/>
    </xf>
    <xf numFmtId="0" fontId="24" fillId="17" borderId="1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left" vertical="center"/>
    </xf>
    <xf numFmtId="10" fontId="24" fillId="0" borderId="1" xfId="7" applyNumberFormat="1" applyFont="1" applyBorder="1" applyAlignment="1">
      <alignment horizontal="right" vertical="top"/>
    </xf>
    <xf numFmtId="10" fontId="24" fillId="0" borderId="1" xfId="0" applyNumberFormat="1" applyFont="1" applyBorder="1" applyAlignment="1">
      <alignment horizontal="right" vertical="top"/>
    </xf>
    <xf numFmtId="0" fontId="24" fillId="0" borderId="37" xfId="0" applyFont="1" applyBorder="1" applyAlignment="1">
      <alignment horizontal="left" vertical="center"/>
    </xf>
    <xf numFmtId="4" fontId="24" fillId="0" borderId="1" xfId="0" applyNumberFormat="1" applyFont="1" applyBorder="1" applyAlignment="1">
      <alignment horizontal="right" vertical="top"/>
    </xf>
    <xf numFmtId="0" fontId="24" fillId="0" borderId="33" xfId="0" applyFont="1" applyBorder="1" applyAlignment="1">
      <alignment horizontal="left" vertical="center"/>
    </xf>
    <xf numFmtId="0" fontId="24" fillId="17" borderId="1" xfId="0" applyFont="1" applyFill="1" applyBorder="1" applyAlignment="1">
      <alignment horizontal="center" vertical="top"/>
    </xf>
    <xf numFmtId="0" fontId="24" fillId="0" borderId="1" xfId="0" applyFont="1" applyBorder="1" applyAlignment="1">
      <alignment horizontal="left" vertical="center" wrapText="1"/>
    </xf>
    <xf numFmtId="0" fontId="17" fillId="9" borderId="0" xfId="0" applyFont="1" applyFill="1" applyBorder="1" applyAlignment="1">
      <alignment vertical="center"/>
    </xf>
    <xf numFmtId="0" fontId="36" fillId="0" borderId="0" xfId="0" applyFont="1" applyAlignment="1">
      <alignment horizontal="left"/>
    </xf>
    <xf numFmtId="0" fontId="17" fillId="9" borderId="4" xfId="0" applyFont="1" applyFill="1" applyBorder="1" applyAlignment="1">
      <alignment vertical="center" wrapText="1"/>
    </xf>
    <xf numFmtId="4" fontId="24" fillId="0" borderId="28" xfId="0" applyNumberFormat="1" applyFont="1" applyFill="1" applyBorder="1" applyAlignment="1">
      <alignment horizontal="right" vertical="center"/>
    </xf>
    <xf numFmtId="4" fontId="24" fillId="0" borderId="37" xfId="0" applyNumberFormat="1" applyFont="1" applyFill="1" applyBorder="1" applyAlignment="1">
      <alignment horizontal="right" vertical="center"/>
    </xf>
    <xf numFmtId="4" fontId="36" fillId="0" borderId="0" xfId="0" applyNumberFormat="1" applyFont="1" applyAlignment="1">
      <alignment horizontal="left"/>
    </xf>
    <xf numFmtId="4" fontId="24" fillId="0" borderId="33" xfId="0" applyNumberFormat="1" applyFont="1" applyFill="1" applyBorder="1" applyAlignment="1">
      <alignment horizontal="right" vertical="center"/>
    </xf>
    <xf numFmtId="4" fontId="24" fillId="0" borderId="28" xfId="0" applyNumberFormat="1" applyFont="1" applyBorder="1" applyAlignment="1">
      <alignment horizontal="right" vertical="center"/>
    </xf>
    <xf numFmtId="4" fontId="24" fillId="0" borderId="37" xfId="0" applyNumberFormat="1" applyFont="1" applyBorder="1" applyAlignment="1">
      <alignment horizontal="right" vertical="center"/>
    </xf>
    <xf numFmtId="4" fontId="24" fillId="0" borderId="33" xfId="0" applyNumberFormat="1" applyFont="1" applyBorder="1" applyAlignment="1">
      <alignment horizontal="right" vertical="center"/>
    </xf>
    <xf numFmtId="10" fontId="24" fillId="0" borderId="28" xfId="0" applyNumberFormat="1" applyFont="1" applyBorder="1" applyAlignment="1">
      <alignment horizontal="right" vertical="top"/>
    </xf>
    <xf numFmtId="0" fontId="36" fillId="0" borderId="0" xfId="0" applyFont="1" applyAlignment="1">
      <alignment horizontal="left" vertical="top"/>
    </xf>
    <xf numFmtId="4" fontId="24" fillId="0" borderId="37" xfId="0" applyNumberFormat="1" applyFont="1" applyBorder="1" applyAlignment="1">
      <alignment horizontal="right" vertical="top"/>
    </xf>
    <xf numFmtId="0" fontId="24" fillId="17" borderId="33" xfId="0" applyFont="1" applyFill="1" applyBorder="1" applyAlignment="1">
      <alignment horizontal="center" vertical="top"/>
    </xf>
    <xf numFmtId="0" fontId="35" fillId="9" borderId="1" xfId="0" applyFont="1" applyFill="1" applyBorder="1" applyAlignment="1">
      <alignment horizontal="left" vertical="center"/>
    </xf>
    <xf numFmtId="10" fontId="24" fillId="0" borderId="1" xfId="0" applyNumberFormat="1" applyFont="1" applyBorder="1" applyAlignment="1">
      <alignment horizontal="center" vertical="center"/>
    </xf>
    <xf numFmtId="4" fontId="24" fillId="0" borderId="1" xfId="0" applyNumberFormat="1" applyFont="1" applyBorder="1"/>
    <xf numFmtId="0" fontId="24" fillId="0" borderId="0" xfId="0" applyFont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0" fillId="18" borderId="0" xfId="0" applyFont="1" applyFill="1"/>
    <xf numFmtId="0" fontId="24" fillId="0" borderId="0" xfId="0" applyFont="1" applyAlignment="1">
      <alignment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left" vertical="center" wrapText="1"/>
    </xf>
    <xf numFmtId="58" fontId="22" fillId="0" borderId="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/>
    </xf>
    <xf numFmtId="0" fontId="22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2" fontId="25" fillId="2" borderId="1" xfId="0" applyNumberFormat="1" applyFont="1" applyFill="1" applyBorder="1" applyAlignment="1">
      <alignment horizontal="center" vertical="center"/>
    </xf>
    <xf numFmtId="189" fontId="37" fillId="0" borderId="0" xfId="0" applyNumberFormat="1" applyFont="1" applyAlignment="1">
      <alignment vertical="center"/>
    </xf>
    <xf numFmtId="0" fontId="27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/>
    </xf>
    <xf numFmtId="2" fontId="27" fillId="2" borderId="1" xfId="0" applyNumberFormat="1" applyFont="1" applyFill="1" applyBorder="1" applyAlignment="1">
      <alignment horizontal="center" vertical="center"/>
    </xf>
    <xf numFmtId="4" fontId="25" fillId="2" borderId="1" xfId="0" applyNumberFormat="1" applyFont="1" applyFill="1" applyBorder="1" applyAlignment="1">
      <alignment horizontal="right" vertical="center"/>
    </xf>
    <xf numFmtId="0" fontId="27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right" vertical="center"/>
    </xf>
    <xf numFmtId="4" fontId="27" fillId="0" borderId="1" xfId="0" applyNumberFormat="1" applyFont="1" applyFill="1" applyBorder="1" applyAlignment="1">
      <alignment horizontal="right" vertical="center" wrapText="1"/>
    </xf>
    <xf numFmtId="189" fontId="38" fillId="0" borderId="0" xfId="0" applyNumberFormat="1" applyFont="1" applyAlignment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left" vertical="center"/>
    </xf>
    <xf numFmtId="0" fontId="26" fillId="0" borderId="9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left" vertical="center" wrapText="1"/>
    </xf>
    <xf numFmtId="4" fontId="27" fillId="0" borderId="1" xfId="0" applyNumberFormat="1" applyFont="1" applyFill="1" applyBorder="1" applyAlignment="1">
      <alignment horizontal="left" vertical="center"/>
    </xf>
    <xf numFmtId="0" fontId="26" fillId="0" borderId="11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left" vertical="center" wrapText="1"/>
    </xf>
    <xf numFmtId="0" fontId="27" fillId="0" borderId="28" xfId="0" applyFont="1" applyFill="1" applyBorder="1" applyAlignment="1">
      <alignment horizontal="center" vertical="center" wrapText="1"/>
    </xf>
    <xf numFmtId="4" fontId="27" fillId="0" borderId="28" xfId="0" applyNumberFormat="1" applyFont="1" applyFill="1" applyBorder="1" applyAlignment="1">
      <alignment horizontal="right" vertical="center" wrapText="1"/>
    </xf>
    <xf numFmtId="2" fontId="27" fillId="0" borderId="28" xfId="0" applyNumberFormat="1" applyFont="1" applyFill="1" applyBorder="1" applyAlignment="1">
      <alignment horizontal="right" vertical="center" wrapText="1"/>
    </xf>
    <xf numFmtId="4" fontId="27" fillId="0" borderId="28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right" vertical="center" wrapText="1"/>
    </xf>
    <xf numFmtId="0" fontId="26" fillId="0" borderId="9" xfId="12" applyNumberFormat="1" applyFont="1" applyFill="1" applyBorder="1" applyAlignment="1" applyProtection="1">
      <alignment horizontal="center" vertical="center" wrapText="1"/>
    </xf>
    <xf numFmtId="0" fontId="19" fillId="0" borderId="0" xfId="12" applyNumberFormat="1" applyFont="1" applyFill="1" applyBorder="1" applyAlignment="1" applyProtection="1">
      <alignment horizontal="center" vertical="center" wrapText="1"/>
    </xf>
    <xf numFmtId="4" fontId="26" fillId="0" borderId="0" xfId="0" applyNumberFormat="1" applyFont="1" applyFill="1" applyBorder="1" applyAlignment="1">
      <alignment horizontal="left" vertical="top" wrapText="1"/>
    </xf>
    <xf numFmtId="2" fontId="27" fillId="2" borderId="1" xfId="0" applyNumberFormat="1" applyFont="1" applyFill="1" applyBorder="1" applyAlignment="1">
      <alignment vertical="center"/>
    </xf>
    <xf numFmtId="2" fontId="27" fillId="0" borderId="1" xfId="0" applyNumberFormat="1" applyFont="1" applyBorder="1" applyAlignment="1">
      <alignment horizontal="right" vertical="center" wrapText="1"/>
    </xf>
    <xf numFmtId="2" fontId="25" fillId="0" borderId="1" xfId="0" applyNumberFormat="1" applyFont="1" applyBorder="1" applyAlignment="1">
      <alignment horizontal="center" vertical="center" wrapText="1"/>
    </xf>
    <xf numFmtId="2" fontId="25" fillId="0" borderId="1" xfId="0" applyNumberFormat="1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4" fontId="27" fillId="0" borderId="1" xfId="0" applyNumberFormat="1" applyFont="1" applyBorder="1" applyAlignment="1">
      <alignment horizontal="righ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2" fontId="27" fillId="0" borderId="1" xfId="0" applyNumberFormat="1" applyFont="1" applyBorder="1" applyAlignment="1">
      <alignment horizontal="right" vertical="center"/>
    </xf>
    <xf numFmtId="189" fontId="38" fillId="15" borderId="0" xfId="0" applyNumberFormat="1" applyFont="1" applyFill="1" applyAlignment="1">
      <alignment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49" fontId="26" fillId="0" borderId="7" xfId="0" applyNumberFormat="1" applyFont="1" applyFill="1" applyBorder="1" applyAlignment="1">
      <alignment horizontal="left" vertical="center" wrapText="1"/>
    </xf>
    <xf numFmtId="49" fontId="28" fillId="0" borderId="7" xfId="0" applyNumberFormat="1" applyFont="1" applyFill="1" applyBorder="1" applyAlignment="1">
      <alignment horizontal="center" vertical="center" wrapText="1"/>
    </xf>
    <xf numFmtId="49" fontId="28" fillId="0" borderId="7" xfId="0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vertical="center" wrapText="1"/>
    </xf>
    <xf numFmtId="49" fontId="28" fillId="0" borderId="9" xfId="0" applyNumberFormat="1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right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4" fontId="27" fillId="0" borderId="1" xfId="0" applyNumberFormat="1" applyFont="1" applyBorder="1" applyAlignment="1">
      <alignment horizontal="right" vertical="center"/>
    </xf>
    <xf numFmtId="4" fontId="26" fillId="0" borderId="9" xfId="0" applyNumberFormat="1" applyFont="1" applyFill="1" applyBorder="1" applyAlignment="1">
      <alignment horizontal="right" vertical="center"/>
    </xf>
    <xf numFmtId="180" fontId="38" fillId="0" borderId="0" xfId="0" applyNumberFormat="1" applyFont="1" applyAlignment="1">
      <alignment vertical="center"/>
    </xf>
    <xf numFmtId="0" fontId="40" fillId="0" borderId="0" xfId="0" applyFont="1" applyAlignment="1">
      <alignment vertical="center"/>
    </xf>
    <xf numFmtId="0" fontId="26" fillId="0" borderId="9" xfId="0" applyNumberFormat="1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vertical="center" wrapText="1"/>
    </xf>
    <xf numFmtId="189" fontId="39" fillId="0" borderId="0" xfId="0" applyNumberFormat="1" applyFont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center" vertical="center" wrapText="1"/>
    </xf>
    <xf numFmtId="2" fontId="27" fillId="0" borderId="0" xfId="0" applyNumberFormat="1" applyFont="1" applyBorder="1" applyAlignment="1">
      <alignment horizontal="right" vertical="center" wrapText="1"/>
    </xf>
    <xf numFmtId="0" fontId="27" fillId="0" borderId="0" xfId="0" applyFont="1" applyBorder="1" applyAlignment="1">
      <alignment horizontal="right" vertical="center" wrapText="1"/>
    </xf>
    <xf numFmtId="4" fontId="27" fillId="0" borderId="0" xfId="0" applyNumberFormat="1" applyFont="1" applyBorder="1" applyAlignment="1">
      <alignment horizontal="right" vertical="center"/>
    </xf>
    <xf numFmtId="49" fontId="28" fillId="3" borderId="9" xfId="0" applyNumberFormat="1" applyFont="1" applyFill="1" applyBorder="1" applyAlignment="1">
      <alignment horizontal="center" vertical="center" wrapText="1"/>
    </xf>
    <xf numFmtId="4" fontId="28" fillId="3" borderId="5" xfId="0" applyNumberFormat="1" applyFont="1" applyFill="1" applyBorder="1" applyAlignment="1">
      <alignment horizontal="left" vertical="center" wrapText="1"/>
    </xf>
    <xf numFmtId="0" fontId="26" fillId="3" borderId="6" xfId="0" applyFont="1" applyFill="1" applyBorder="1" applyAlignment="1">
      <alignment horizontal="center" vertical="center" wrapText="1"/>
    </xf>
    <xf numFmtId="2" fontId="26" fillId="3" borderId="6" xfId="0" applyNumberFormat="1" applyFont="1" applyFill="1" applyBorder="1" applyAlignment="1">
      <alignment horizontal="right" vertical="center"/>
    </xf>
    <xf numFmtId="4" fontId="26" fillId="3" borderId="12" xfId="0" applyNumberFormat="1" applyFont="1" applyFill="1" applyBorder="1" applyAlignment="1">
      <alignment horizontal="right" vertical="center"/>
    </xf>
    <xf numFmtId="4" fontId="28" fillId="3" borderId="9" xfId="0" applyNumberFormat="1" applyFont="1" applyFill="1" applyBorder="1" applyAlignment="1">
      <alignment horizontal="right" vertical="center"/>
    </xf>
    <xf numFmtId="0" fontId="41" fillId="0" borderId="0" xfId="0" applyFont="1" applyFill="1" applyAlignment="1">
      <alignment vertical="center"/>
    </xf>
    <xf numFmtId="4" fontId="28" fillId="4" borderId="9" xfId="0" applyNumberFormat="1" applyFont="1" applyFill="1" applyBorder="1" applyAlignment="1">
      <alignment horizontal="left" vertical="center" wrapText="1"/>
    </xf>
    <xf numFmtId="4" fontId="26" fillId="0" borderId="9" xfId="0" applyNumberFormat="1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/>
    </xf>
    <xf numFmtId="0" fontId="28" fillId="0" borderId="9" xfId="0" applyFont="1" applyBorder="1" applyAlignment="1">
      <alignment vertical="center" wrapText="1"/>
    </xf>
    <xf numFmtId="0" fontId="26" fillId="0" borderId="9" xfId="0" applyFont="1" applyFill="1" applyBorder="1" applyAlignment="1">
      <alignment horizontal="center" vertical="center" wrapText="1"/>
    </xf>
    <xf numFmtId="2" fontId="26" fillId="0" borderId="9" xfId="0" applyNumberFormat="1" applyFont="1" applyBorder="1" applyAlignment="1">
      <alignment horizontal="right" vertical="center"/>
    </xf>
    <xf numFmtId="4" fontId="26" fillId="0" borderId="9" xfId="0" applyNumberFormat="1" applyFont="1" applyBorder="1" applyAlignment="1">
      <alignment horizontal="right" vertical="center"/>
    </xf>
    <xf numFmtId="49" fontId="26" fillId="0" borderId="9" xfId="0" applyNumberFormat="1" applyFont="1" applyFill="1" applyBorder="1" applyAlignment="1">
      <alignment horizontal="center" vertical="center" wrapText="1"/>
    </xf>
    <xf numFmtId="2" fontId="26" fillId="0" borderId="9" xfId="0" applyNumberFormat="1" applyFont="1" applyFill="1" applyBorder="1" applyAlignment="1">
      <alignment horizontal="right" vertical="center"/>
    </xf>
    <xf numFmtId="4" fontId="26" fillId="0" borderId="9" xfId="0" applyNumberFormat="1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vertical="center" wrapText="1"/>
    </xf>
    <xf numFmtId="4" fontId="28" fillId="0" borderId="9" xfId="0" applyNumberFormat="1" applyFont="1" applyFill="1" applyBorder="1" applyAlignment="1">
      <alignment horizontal="center" vertical="center" wrapText="1"/>
    </xf>
    <xf numFmtId="4" fontId="28" fillId="0" borderId="9" xfId="0" applyNumberFormat="1" applyFont="1" applyFill="1" applyBorder="1" applyAlignment="1">
      <alignment horizontal="left" vertical="center" wrapText="1"/>
    </xf>
    <xf numFmtId="4" fontId="26" fillId="0" borderId="9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vertical="center"/>
    </xf>
    <xf numFmtId="180" fontId="39" fillId="0" borderId="0" xfId="0" applyNumberFormat="1" applyFont="1" applyAlignment="1">
      <alignment vertical="center"/>
    </xf>
    <xf numFmtId="0" fontId="41" fillId="0" borderId="0" xfId="0" applyFont="1" applyFill="1"/>
    <xf numFmtId="0" fontId="41" fillId="18" borderId="0" xfId="0" applyFont="1" applyFill="1" applyAlignment="1">
      <alignment vertical="center"/>
    </xf>
    <xf numFmtId="0" fontId="41" fillId="18" borderId="0" xfId="0" applyFont="1" applyFill="1"/>
    <xf numFmtId="0" fontId="41" fillId="0" borderId="0" xfId="0" applyFont="1"/>
    <xf numFmtId="2" fontId="26" fillId="0" borderId="9" xfId="0" applyNumberFormat="1" applyFont="1" applyFill="1" applyBorder="1" applyAlignment="1">
      <alignment horizontal="right" vertical="center" wrapText="1"/>
    </xf>
    <xf numFmtId="49" fontId="28" fillId="0" borderId="9" xfId="0" applyNumberFormat="1" applyFont="1" applyFill="1" applyBorder="1" applyAlignment="1">
      <alignment horizontal="center" vertical="center" wrapText="1"/>
    </xf>
    <xf numFmtId="0" fontId="42" fillId="0" borderId="9" xfId="0" applyFont="1" applyFill="1" applyBorder="1" applyAlignment="1">
      <alignment vertical="center" wrapText="1"/>
    </xf>
    <xf numFmtId="0" fontId="28" fillId="0" borderId="9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right" vertical="center" wrapText="1"/>
    </xf>
    <xf numFmtId="4" fontId="28" fillId="0" borderId="9" xfId="0" applyNumberFormat="1" applyFont="1" applyFill="1" applyBorder="1" applyAlignment="1">
      <alignment horizontal="right" vertical="center"/>
    </xf>
    <xf numFmtId="0" fontId="39" fillId="0" borderId="9" xfId="0" applyFont="1" applyFill="1" applyBorder="1" applyAlignment="1">
      <alignment vertical="center" wrapText="1"/>
    </xf>
    <xf numFmtId="49" fontId="26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 wrapText="1"/>
    </xf>
    <xf numFmtId="2" fontId="26" fillId="0" borderId="0" xfId="0" applyNumberFormat="1" applyFont="1" applyFill="1" applyBorder="1" applyAlignment="1">
      <alignment horizontal="right" vertical="center"/>
    </xf>
    <xf numFmtId="4" fontId="26" fillId="0" borderId="0" xfId="0" applyNumberFormat="1" applyFont="1" applyBorder="1" applyAlignment="1">
      <alignment horizontal="right" vertical="center"/>
    </xf>
    <xf numFmtId="0" fontId="43" fillId="0" borderId="0" xfId="0" applyFont="1" applyFill="1" applyAlignment="1">
      <alignment vertical="center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4" fontId="38" fillId="0" borderId="0" xfId="0" applyNumberFormat="1" applyFont="1" applyAlignment="1">
      <alignment vertical="center"/>
    </xf>
    <xf numFmtId="0" fontId="38" fillId="0" borderId="0" xfId="0" applyFont="1" applyAlignment="1">
      <alignment horizontal="center" vertical="center"/>
    </xf>
    <xf numFmtId="49" fontId="27" fillId="0" borderId="1" xfId="0" applyNumberFormat="1" applyFont="1" applyFill="1" applyBorder="1" applyAlignment="1">
      <alignment horizontal="left" vertical="center" wrapText="1"/>
    </xf>
    <xf numFmtId="0" fontId="44" fillId="0" borderId="1" xfId="0" applyNumberFormat="1" applyFont="1" applyBorder="1" applyAlignment="1">
      <alignment horizontal="center" vertical="center" wrapText="1"/>
    </xf>
    <xf numFmtId="187" fontId="0" fillId="0" borderId="0" xfId="7" applyNumberFormat="1" applyFont="1" applyAlignment="1">
      <alignment vertical="center"/>
    </xf>
    <xf numFmtId="2" fontId="0" fillId="0" borderId="0" xfId="0" applyNumberFormat="1" applyFont="1" applyAlignment="1">
      <alignment vertical="center"/>
    </xf>
    <xf numFmtId="185" fontId="0" fillId="0" borderId="0" xfId="0" applyNumberFormat="1" applyFont="1" applyAlignment="1">
      <alignment vertical="center"/>
    </xf>
    <xf numFmtId="2" fontId="27" fillId="0" borderId="1" xfId="0" applyNumberFormat="1" applyFont="1" applyFill="1" applyBorder="1" applyAlignment="1">
      <alignment horizontal="center" vertical="center" wrapText="1"/>
    </xf>
    <xf numFmtId="2" fontId="25" fillId="2" borderId="1" xfId="0" applyNumberFormat="1" applyFont="1" applyFill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9" fontId="27" fillId="0" borderId="1" xfId="7" applyFont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5" fillId="2" borderId="2" xfId="0" applyFont="1" applyFill="1" applyBorder="1" applyAlignment="1">
      <alignment horizontal="right" vertical="center"/>
    </xf>
    <xf numFmtId="0" fontId="25" fillId="2" borderId="3" xfId="0" applyFont="1" applyFill="1" applyBorder="1" applyAlignment="1">
      <alignment horizontal="right" vertical="center"/>
    </xf>
    <xf numFmtId="0" fontId="25" fillId="2" borderId="4" xfId="0" applyFont="1" applyFill="1" applyBorder="1" applyAlignment="1">
      <alignment horizontal="right" vertical="center"/>
    </xf>
    <xf numFmtId="180" fontId="25" fillId="2" borderId="2" xfId="0" applyNumberFormat="1" applyFont="1" applyFill="1" applyBorder="1" applyAlignment="1">
      <alignment horizontal="center" vertical="center"/>
    </xf>
    <xf numFmtId="180" fontId="25" fillId="2" borderId="4" xfId="0" applyNumberFormat="1" applyFont="1" applyFill="1" applyBorder="1" applyAlignment="1">
      <alignment horizontal="center" vertical="center"/>
    </xf>
    <xf numFmtId="2" fontId="27" fillId="0" borderId="1" xfId="0" applyNumberFormat="1" applyFont="1" applyFill="1" applyBorder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left" vertical="top" wrapText="1"/>
    </xf>
    <xf numFmtId="0" fontId="24" fillId="0" borderId="3" xfId="0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  <xf numFmtId="0" fontId="24" fillId="0" borderId="15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/>
    </xf>
    <xf numFmtId="0" fontId="22" fillId="0" borderId="0" xfId="0" applyFont="1" applyBorder="1" applyAlignment="1">
      <alignment vertical="top"/>
    </xf>
    <xf numFmtId="0" fontId="24" fillId="0" borderId="0" xfId="0" applyFont="1" applyBorder="1" applyAlignment="1">
      <alignment vertical="top"/>
    </xf>
    <xf numFmtId="0" fontId="24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187" fontId="0" fillId="0" borderId="0" xfId="7" applyNumberFormat="1" applyFont="1" applyBorder="1" applyAlignment="1">
      <alignment vertical="center"/>
    </xf>
    <xf numFmtId="185" fontId="0" fillId="0" borderId="0" xfId="0" applyNumberFormat="1" applyFont="1" applyBorder="1" applyAlignment="1">
      <alignment vertical="center"/>
    </xf>
    <xf numFmtId="2" fontId="0" fillId="0" borderId="0" xfId="0" applyNumberFormat="1" applyFont="1" applyBorder="1" applyAlignment="1">
      <alignment vertical="center"/>
    </xf>
  </cellXfs>
  <cellStyles count="60">
    <cellStyle name="Normal" xfId="0" builtinId="0"/>
    <cellStyle name="40% - Accent1" xfId="1" builtinId="31"/>
    <cellStyle name="Comma" xfId="2" builtinId="3"/>
    <cellStyle name="Comma [0]" xfId="3" builtinId="6"/>
    <cellStyle name="Vírgula 7" xfId="4"/>
    <cellStyle name="Currency [0]" xfId="5" builtinId="7"/>
    <cellStyle name="Currency" xfId="6" builtinId="4"/>
    <cellStyle name="Percent" xfId="7" builtinId="5"/>
    <cellStyle name="Check Cell" xfId="8" builtinId="23"/>
    <cellStyle name="Heading 2" xfId="9" builtinId="17"/>
    <cellStyle name="Note" xfId="10" builtinId="10"/>
    <cellStyle name="Hyperlink" xfId="11" builtinId="8"/>
    <cellStyle name="TableStyleLight1" xfId="12"/>
    <cellStyle name="60% - Accent4" xfId="13" builtinId="44"/>
    <cellStyle name="Followed Hyperlink" xfId="14" builtinId="9"/>
    <cellStyle name="40% - Accent3" xfId="15" builtinId="39"/>
    <cellStyle name="Warning Text" xfId="16" builtinId="11"/>
    <cellStyle name="40% - Accent2" xfId="17" builtinId="35"/>
    <cellStyle name="Title" xfId="18" builtinId="15"/>
    <cellStyle name="CExplanatory Text" xfId="19" builtinId="53"/>
    <cellStyle name="Heading 1" xfId="20" builtinId="16"/>
    <cellStyle name="Heading 3" xfId="21" builtinId="18"/>
    <cellStyle name="Normal 2 10" xfId="22"/>
    <cellStyle name="Heading 4" xfId="23" builtinId="19"/>
    <cellStyle name="Normal_aPlanilha Orçamentária Modelo" xfId="24"/>
    <cellStyle name="Input" xfId="25" builtinId="20"/>
    <cellStyle name="60% - Accent3" xfId="26" builtinId="40"/>
    <cellStyle name="Good" xfId="27" builtinId="26"/>
    <cellStyle name="Output" xfId="28" builtinId="21"/>
    <cellStyle name="20% - Accent1" xfId="29" builtinId="30"/>
    <cellStyle name="Calculation" xfId="30" builtinId="22"/>
    <cellStyle name="Linked Cell" xfId="31" builtinId="24"/>
    <cellStyle name="Total" xfId="32" builtinId="25"/>
    <cellStyle name="Bad" xfId="33" builtinId="27"/>
    <cellStyle name="Neutral" xfId="34" builtinId="28"/>
    <cellStyle name="Normal 19" xfId="35"/>
    <cellStyle name="Normal_Orçamento_Sinalização Viária" xfId="36"/>
    <cellStyle name="Accent1" xfId="37" builtinId="29"/>
    <cellStyle name="Normal 2" xfId="38"/>
    <cellStyle name="20% - Accent5" xfId="39" builtinId="46"/>
    <cellStyle name="60% - Accent1" xfId="40" builtinId="32"/>
    <cellStyle name="Accent2" xfId="41" builtinId="33"/>
    <cellStyle name="20% - Accent2" xfId="42" builtinId="34"/>
    <cellStyle name="Excel Built-in Currency" xfId="43"/>
    <cellStyle name="20% - Accent6" xfId="44" builtinId="50"/>
    <cellStyle name="60% - Accent2" xfId="45" builtinId="36"/>
    <cellStyle name="Accent3" xfId="46" builtinId="37"/>
    <cellStyle name="20% - Accent3" xfId="47" builtinId="38"/>
    <cellStyle name="Accent4" xfId="48" builtinId="41"/>
    <cellStyle name="20% - Accent4" xfId="49" builtinId="42"/>
    <cellStyle name="40% - Accent4" xfId="50" builtinId="43"/>
    <cellStyle name="Accent5" xfId="51" builtinId="45"/>
    <cellStyle name="40% - Accent5" xfId="52" builtinId="47"/>
    <cellStyle name="60% - Accent5" xfId="53" builtinId="48"/>
    <cellStyle name="Accent6" xfId="54" builtinId="49"/>
    <cellStyle name="40% - Accent6" xfId="55" builtinId="51"/>
    <cellStyle name="60% - Accent6" xfId="56" builtinId="52"/>
    <cellStyle name="Excel_BuiltIn_Comma 1" xfId="57"/>
    <cellStyle name="Normal 11" xfId="58"/>
    <cellStyle name="Normal_Pesquisa no referencial 10 de maio de 2013 2" xfId="59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XFD440"/>
  <sheetViews>
    <sheetView tabSelected="1" view="pageBreakPreview" zoomScale="115" zoomScaleNormal="130" zoomScaleSheetLayoutView="115" topLeftCell="A422" workbookViewId="0">
      <selection activeCell="A431" sqref="A431"/>
    </sheetView>
  </sheetViews>
  <sheetFormatPr defaultColWidth="9.14285714285714" defaultRowHeight="15.95" customHeight="1"/>
  <cols>
    <col min="1" max="1" width="8.57142857142857" style="561" customWidth="1"/>
    <col min="2" max="2" width="5.57142857142857" style="561" customWidth="1"/>
    <col min="3" max="3" width="48.1428571428571" style="628" customWidth="1"/>
    <col min="4" max="4" width="4.71428571428571" style="561" customWidth="1"/>
    <col min="5" max="5" width="7" style="561" customWidth="1"/>
    <col min="6" max="6" width="8.42857142857143" style="561" customWidth="1"/>
    <col min="7" max="7" width="10" style="561" customWidth="1"/>
    <col min="8" max="8" width="13.2857142857143" style="278" customWidth="1"/>
    <col min="9" max="9" width="12.2857142857143" style="278" customWidth="1"/>
    <col min="10" max="12" width="9.14285714285714" style="278"/>
    <col min="13" max="13" width="12.2857142857143" style="278" customWidth="1"/>
    <col min="14" max="16384" width="9.14285714285714" style="278"/>
  </cols>
  <sheetData>
    <row r="1" ht="3" customHeight="1"/>
    <row r="2" customHeight="1" spans="1:13">
      <c r="A2" s="629" t="s">
        <v>0</v>
      </c>
      <c r="B2" s="629"/>
      <c r="C2" s="630"/>
      <c r="D2" s="629"/>
      <c r="E2" s="629"/>
      <c r="F2" s="629"/>
      <c r="G2" s="629"/>
      <c r="H2" s="631"/>
      <c r="I2" s="631"/>
      <c r="J2" s="631"/>
      <c r="K2" s="631"/>
      <c r="L2" s="631"/>
      <c r="M2" s="631"/>
    </row>
    <row r="3" ht="3.95" customHeight="1" spans="1:13">
      <c r="A3" s="632"/>
      <c r="B3" s="632"/>
      <c r="C3" s="633"/>
      <c r="D3" s="632"/>
      <c r="E3" s="632"/>
      <c r="F3" s="632"/>
      <c r="G3" s="632"/>
      <c r="H3" s="631"/>
      <c r="I3" s="631"/>
      <c r="J3" s="631"/>
      <c r="K3" s="631"/>
      <c r="L3" s="631"/>
      <c r="M3" s="631"/>
    </row>
    <row r="4" ht="30" customHeight="1" spans="1:7">
      <c r="A4" s="285" t="s">
        <v>1</v>
      </c>
      <c r="B4" s="286"/>
      <c r="C4" s="634"/>
      <c r="D4" s="286"/>
      <c r="E4" s="286"/>
      <c r="F4" s="286"/>
      <c r="G4" s="287"/>
    </row>
    <row r="5" ht="3.95" customHeight="1" spans="1:7">
      <c r="A5" s="632"/>
      <c r="B5" s="632"/>
      <c r="C5" s="633"/>
      <c r="D5" s="632"/>
      <c r="E5" s="632"/>
      <c r="F5" s="635"/>
      <c r="G5" s="632"/>
    </row>
    <row r="6" ht="3.95" customHeight="1" spans="1:7">
      <c r="A6" s="566"/>
      <c r="B6" s="636"/>
      <c r="C6" s="637"/>
      <c r="D6" s="566"/>
      <c r="E6" s="566"/>
      <c r="F6" s="566"/>
      <c r="G6" s="566"/>
    </row>
    <row r="7" customHeight="1" spans="1:7">
      <c r="A7" s="638" t="s">
        <v>2</v>
      </c>
      <c r="B7" s="639"/>
      <c r="C7" s="640"/>
      <c r="D7" s="629" t="s">
        <v>3</v>
      </c>
      <c r="E7" s="629"/>
      <c r="F7" s="629"/>
      <c r="G7" s="629"/>
    </row>
    <row r="8" ht="6" customHeight="1" spans="1:7">
      <c r="A8" s="566"/>
      <c r="B8" s="566"/>
      <c r="D8" s="566"/>
      <c r="E8" s="566"/>
      <c r="F8" s="566"/>
      <c r="G8" s="566"/>
    </row>
    <row r="9" s="624" customFormat="1" customHeight="1" spans="1:8">
      <c r="A9" s="641" t="s">
        <v>4</v>
      </c>
      <c r="B9" s="641" t="s">
        <v>5</v>
      </c>
      <c r="C9" s="642" t="s">
        <v>6</v>
      </c>
      <c r="D9" s="641" t="s">
        <v>7</v>
      </c>
      <c r="E9" s="643" t="s">
        <v>8</v>
      </c>
      <c r="F9" s="643" t="s">
        <v>9</v>
      </c>
      <c r="G9" s="643" t="s">
        <v>10</v>
      </c>
      <c r="H9" s="644"/>
    </row>
    <row r="10" s="624" customFormat="1" ht="12.75" spans="1:8">
      <c r="A10" s="645"/>
      <c r="B10" s="641">
        <v>1</v>
      </c>
      <c r="C10" s="646" t="s">
        <v>11</v>
      </c>
      <c r="D10" s="647"/>
      <c r="E10" s="648"/>
      <c r="F10" s="648"/>
      <c r="G10" s="649">
        <f>SUM(G11:G29)</f>
        <v>38477.82</v>
      </c>
      <c r="H10" s="644"/>
    </row>
    <row r="11" s="625" customFormat="1" ht="12" spans="1:8">
      <c r="A11" s="650"/>
      <c r="B11" s="651"/>
      <c r="C11" s="652"/>
      <c r="D11" s="651"/>
      <c r="E11" s="653"/>
      <c r="F11" s="432"/>
      <c r="G11" s="652"/>
      <c r="H11" s="654"/>
    </row>
    <row r="12" s="625" customFormat="1" ht="12" spans="1:8">
      <c r="A12" s="650"/>
      <c r="B12" s="655" t="s">
        <v>12</v>
      </c>
      <c r="C12" s="656" t="s">
        <v>13</v>
      </c>
      <c r="D12" s="651"/>
      <c r="E12" s="653"/>
      <c r="F12" s="432"/>
      <c r="G12" s="652"/>
      <c r="H12" s="654"/>
    </row>
    <row r="13" s="625" customFormat="1" ht="12" spans="1:13">
      <c r="A13" s="657" t="s">
        <v>14</v>
      </c>
      <c r="B13" s="651" t="s">
        <v>15</v>
      </c>
      <c r="C13" s="658" t="s">
        <v>16</v>
      </c>
      <c r="D13" s="651" t="s">
        <v>17</v>
      </c>
      <c r="E13" s="653">
        <f>'PB VI - Memorial'!G16</f>
        <v>1600</v>
      </c>
      <c r="F13" s="432">
        <v>0.14</v>
      </c>
      <c r="G13" s="652">
        <f>ROUND(E13*F13,2)</f>
        <v>224</v>
      </c>
      <c r="H13" s="654"/>
      <c r="M13" s="695">
        <f>$F$432</f>
        <v>997182.95</v>
      </c>
    </row>
    <row r="14" s="625" customFormat="1" ht="22.5" spans="1:13">
      <c r="A14" s="651" t="str">
        <f>'PB VIII - Composições Auxilia'!A8</f>
        <v>COMP. 01 - DPE</v>
      </c>
      <c r="B14" s="651" t="s">
        <v>18</v>
      </c>
      <c r="C14" s="659" t="s">
        <v>19</v>
      </c>
      <c r="D14" s="651" t="s">
        <v>20</v>
      </c>
      <c r="E14" s="653">
        <f>'PB VI - Memorial'!C17</f>
        <v>1</v>
      </c>
      <c r="F14" s="432">
        <f>'PB VIII - Composições Auxilia'!F11</f>
        <v>317.04</v>
      </c>
      <c r="G14" s="652">
        <f>ROUND(E14*F14,2)</f>
        <v>317.04</v>
      </c>
      <c r="H14" s="654"/>
      <c r="M14" s="695">
        <f t="shared" ref="M14:M78" si="0">$F$432</f>
        <v>997182.95</v>
      </c>
    </row>
    <row r="15" s="625" customFormat="1" ht="12" spans="1:13">
      <c r="A15" s="651">
        <v>6081</v>
      </c>
      <c r="B15" s="651" t="s">
        <v>21</v>
      </c>
      <c r="C15" s="659" t="s">
        <v>22</v>
      </c>
      <c r="D15" s="651" t="s">
        <v>23</v>
      </c>
      <c r="E15" s="653">
        <f>'PB VI - Memorial'!G10</f>
        <v>478.4</v>
      </c>
      <c r="F15" s="432">
        <v>14.16</v>
      </c>
      <c r="G15" s="652">
        <f t="shared" ref="G15:G18" si="1">ROUND(E15*F15,2)</f>
        <v>6774.14</v>
      </c>
      <c r="H15" s="654"/>
      <c r="M15" s="695">
        <f t="shared" si="0"/>
        <v>997182.95</v>
      </c>
    </row>
    <row r="16" s="625" customFormat="1" ht="12" spans="1:13">
      <c r="A16" s="651">
        <v>41722</v>
      </c>
      <c r="B16" s="651" t="s">
        <v>24</v>
      </c>
      <c r="C16" s="659" t="s">
        <v>25</v>
      </c>
      <c r="D16" s="651" t="s">
        <v>23</v>
      </c>
      <c r="E16" s="653">
        <f>'PB VI - Memorial'!G10</f>
        <v>478.4</v>
      </c>
      <c r="F16" s="432">
        <v>3.92</v>
      </c>
      <c r="G16" s="652">
        <f t="shared" si="1"/>
        <v>1875.33</v>
      </c>
      <c r="H16" s="654"/>
      <c r="M16" s="695">
        <f t="shared" si="0"/>
        <v>997182.95</v>
      </c>
    </row>
    <row r="17" s="625" customFormat="1" ht="12" spans="1:13">
      <c r="A17" s="660" t="s">
        <v>26</v>
      </c>
      <c r="B17" s="651" t="s">
        <v>27</v>
      </c>
      <c r="C17" s="661" t="s">
        <v>28</v>
      </c>
      <c r="D17" s="662" t="s">
        <v>17</v>
      </c>
      <c r="E17" s="663">
        <f>'PB VI - Memorial'!G18</f>
        <v>263.9</v>
      </c>
      <c r="F17" s="664">
        <v>3.75</v>
      </c>
      <c r="G17" s="665">
        <f t="shared" si="1"/>
        <v>989.63</v>
      </c>
      <c r="H17" s="654"/>
      <c r="M17" s="695">
        <f t="shared" si="0"/>
        <v>997182.95</v>
      </c>
    </row>
    <row r="18" s="625" customFormat="1" ht="12" spans="1:13">
      <c r="A18" s="666">
        <v>4721</v>
      </c>
      <c r="B18" s="651" t="s">
        <v>29</v>
      </c>
      <c r="C18" s="667" t="s">
        <v>30</v>
      </c>
      <c r="D18" s="651" t="s">
        <v>23</v>
      </c>
      <c r="E18" s="653">
        <f>'PB VI - Memorial'!G11</f>
        <v>27.5</v>
      </c>
      <c r="F18" s="432">
        <v>85</v>
      </c>
      <c r="G18" s="652">
        <f t="shared" si="1"/>
        <v>2337.5</v>
      </c>
      <c r="H18" s="654"/>
      <c r="M18" s="695">
        <f t="shared" si="0"/>
        <v>997182.95</v>
      </c>
    </row>
    <row r="19" s="625" customFormat="1" ht="12" spans="1:13">
      <c r="A19" s="668"/>
      <c r="B19" s="651"/>
      <c r="C19" s="667"/>
      <c r="D19" s="651"/>
      <c r="E19" s="653"/>
      <c r="F19" s="432"/>
      <c r="G19" s="652"/>
      <c r="H19" s="654"/>
      <c r="M19" s="695"/>
    </row>
    <row r="20" s="625" customFormat="1" ht="12" spans="1:13">
      <c r="A20" s="650"/>
      <c r="B20" s="655" t="s">
        <v>31</v>
      </c>
      <c r="C20" s="656" t="s">
        <v>32</v>
      </c>
      <c r="D20" s="651"/>
      <c r="E20" s="653"/>
      <c r="F20" s="432"/>
      <c r="G20" s="652"/>
      <c r="H20" s="654"/>
      <c r="M20" s="695">
        <f t="shared" si="0"/>
        <v>997182.95</v>
      </c>
    </row>
    <row r="21" s="625" customFormat="1" ht="22.5" spans="1:13">
      <c r="A21" s="651" t="s">
        <v>33</v>
      </c>
      <c r="B21" s="651" t="s">
        <v>34</v>
      </c>
      <c r="C21" s="650" t="s">
        <v>35</v>
      </c>
      <c r="D21" s="651" t="s">
        <v>17</v>
      </c>
      <c r="E21" s="653">
        <f>'PB VI - Memorial'!G21</f>
        <v>3.9</v>
      </c>
      <c r="F21" s="432">
        <v>295.56</v>
      </c>
      <c r="G21" s="652">
        <f>ROUND(E21*F21,2)</f>
        <v>1152.68</v>
      </c>
      <c r="H21" s="654"/>
      <c r="M21" s="695">
        <f t="shared" si="0"/>
        <v>997182.95</v>
      </c>
    </row>
    <row r="22" s="625" customFormat="1" customHeight="1" spans="1:13">
      <c r="A22" s="651">
        <v>93212</v>
      </c>
      <c r="B22" s="651" t="s">
        <v>36</v>
      </c>
      <c r="C22" s="650" t="s">
        <v>37</v>
      </c>
      <c r="D22" s="669" t="s">
        <v>17</v>
      </c>
      <c r="E22" s="432">
        <f>'PB VI - Memorial'!G22</f>
        <v>13.5</v>
      </c>
      <c r="F22" s="670">
        <v>536.76</v>
      </c>
      <c r="G22" s="652">
        <f t="shared" ref="G22:G29" si="2">ROUND(E22*F22,2)</f>
        <v>7246.26</v>
      </c>
      <c r="H22" s="654"/>
      <c r="M22" s="695">
        <f t="shared" si="0"/>
        <v>997182.95</v>
      </c>
    </row>
    <row r="23" s="625" customFormat="1" customHeight="1" spans="1:13">
      <c r="A23" s="651" t="s">
        <v>38</v>
      </c>
      <c r="B23" s="651" t="s">
        <v>39</v>
      </c>
      <c r="C23" s="650" t="s">
        <v>40</v>
      </c>
      <c r="D23" s="651" t="s">
        <v>17</v>
      </c>
      <c r="E23" s="432">
        <f>'PB VI - Memorial'!G23</f>
        <v>9</v>
      </c>
      <c r="F23" s="670">
        <v>547.23</v>
      </c>
      <c r="G23" s="652">
        <f t="shared" si="2"/>
        <v>4925.07</v>
      </c>
      <c r="H23" s="654"/>
      <c r="M23" s="695">
        <f t="shared" si="0"/>
        <v>997182.95</v>
      </c>
    </row>
    <row r="24" s="625" customFormat="1" ht="12" spans="1:13">
      <c r="A24" s="651">
        <v>93210</v>
      </c>
      <c r="B24" s="651" t="s">
        <v>41</v>
      </c>
      <c r="C24" s="650" t="s">
        <v>42</v>
      </c>
      <c r="D24" s="651" t="s">
        <v>17</v>
      </c>
      <c r="E24" s="653">
        <f>'PB VI - Memorial'!G24</f>
        <v>9</v>
      </c>
      <c r="F24" s="432">
        <v>330.55</v>
      </c>
      <c r="G24" s="652">
        <f t="shared" si="2"/>
        <v>2974.95</v>
      </c>
      <c r="H24" s="654"/>
      <c r="M24" s="695">
        <f t="shared" si="0"/>
        <v>997182.95</v>
      </c>
    </row>
    <row r="25" s="625" customFormat="1" ht="12" spans="1:13">
      <c r="A25" s="671">
        <v>93208</v>
      </c>
      <c r="B25" s="651" t="s">
        <v>43</v>
      </c>
      <c r="C25" s="650" t="s">
        <v>44</v>
      </c>
      <c r="D25" s="651" t="s">
        <v>17</v>
      </c>
      <c r="E25" s="653">
        <f>'PB VI - Memorial'!G25</f>
        <v>9</v>
      </c>
      <c r="F25" s="432">
        <v>427.35</v>
      </c>
      <c r="G25" s="652">
        <f t="shared" si="2"/>
        <v>3846.15</v>
      </c>
      <c r="H25" s="654"/>
      <c r="M25" s="695">
        <f t="shared" si="0"/>
        <v>997182.95</v>
      </c>
    </row>
    <row r="26" s="625" customFormat="1" ht="12" spans="1:13">
      <c r="A26" s="671">
        <v>93583</v>
      </c>
      <c r="B26" s="651" t="s">
        <v>45</v>
      </c>
      <c r="C26" s="650" t="s">
        <v>46</v>
      </c>
      <c r="D26" s="651" t="s">
        <v>17</v>
      </c>
      <c r="E26" s="653">
        <f>'PB VI - Memorial'!G26</f>
        <v>9</v>
      </c>
      <c r="F26" s="432">
        <v>269.67</v>
      </c>
      <c r="G26" s="652">
        <f t="shared" si="2"/>
        <v>2427.03</v>
      </c>
      <c r="H26" s="654"/>
      <c r="M26" s="695">
        <f t="shared" si="0"/>
        <v>997182.95</v>
      </c>
    </row>
    <row r="27" s="625" customFormat="1" ht="12" spans="1:13">
      <c r="A27" s="671">
        <v>93582</v>
      </c>
      <c r="B27" s="651" t="s">
        <v>47</v>
      </c>
      <c r="C27" s="650" t="s">
        <v>48</v>
      </c>
      <c r="D27" s="651" t="s">
        <v>17</v>
      </c>
      <c r="E27" s="653">
        <f>'PB VI - Memorial'!G27</f>
        <v>9</v>
      </c>
      <c r="F27" s="432">
        <v>138.04</v>
      </c>
      <c r="G27" s="652">
        <f t="shared" si="2"/>
        <v>1242.36</v>
      </c>
      <c r="H27" s="654"/>
      <c r="M27" s="695">
        <f t="shared" si="0"/>
        <v>997182.95</v>
      </c>
    </row>
    <row r="28" s="625" customFormat="1" ht="12" spans="1:13">
      <c r="A28" s="651">
        <v>93214</v>
      </c>
      <c r="B28" s="651" t="s">
        <v>49</v>
      </c>
      <c r="C28" s="650" t="s">
        <v>50</v>
      </c>
      <c r="D28" s="651" t="s">
        <v>20</v>
      </c>
      <c r="E28" s="653">
        <f>'PB VI - Memorial'!G28</f>
        <v>1</v>
      </c>
      <c r="F28" s="432">
        <v>965.65</v>
      </c>
      <c r="G28" s="652">
        <f t="shared" si="2"/>
        <v>965.65</v>
      </c>
      <c r="H28" s="654"/>
      <c r="M28" s="695">
        <f t="shared" si="0"/>
        <v>997182.95</v>
      </c>
    </row>
    <row r="29" s="625" customFormat="1" ht="12" spans="1:13">
      <c r="A29" s="651">
        <v>41598</v>
      </c>
      <c r="B29" s="651" t="s">
        <v>51</v>
      </c>
      <c r="C29" s="650" t="s">
        <v>52</v>
      </c>
      <c r="D29" s="651" t="s">
        <v>20</v>
      </c>
      <c r="E29" s="653">
        <f>'PB VI - Memorial'!G29</f>
        <v>1</v>
      </c>
      <c r="F29" s="432">
        <v>1180.03</v>
      </c>
      <c r="G29" s="652">
        <f t="shared" si="2"/>
        <v>1180.03</v>
      </c>
      <c r="H29" s="654"/>
      <c r="M29" s="695">
        <f t="shared" si="0"/>
        <v>997182.95</v>
      </c>
    </row>
    <row r="30" s="625" customFormat="1" ht="12.75" spans="1:13">
      <c r="A30" s="672"/>
      <c r="B30" s="651"/>
      <c r="C30" s="673"/>
      <c r="D30" s="651"/>
      <c r="E30" s="653"/>
      <c r="F30" s="432"/>
      <c r="G30" s="652"/>
      <c r="H30" s="654"/>
      <c r="M30" s="695">
        <f t="shared" si="0"/>
        <v>997182.95</v>
      </c>
    </row>
    <row r="31" s="625" customFormat="1" ht="12.75" customHeight="1" spans="1:13">
      <c r="A31" s="647"/>
      <c r="B31" s="641">
        <v>2</v>
      </c>
      <c r="C31" s="646" t="s">
        <v>53</v>
      </c>
      <c r="D31" s="647"/>
      <c r="E31" s="674"/>
      <c r="F31" s="674"/>
      <c r="G31" s="649">
        <f>SUM(G33:G61)</f>
        <v>67185.16</v>
      </c>
      <c r="H31" s="654"/>
      <c r="M31" s="695">
        <f t="shared" si="0"/>
        <v>997182.95</v>
      </c>
    </row>
    <row r="32" s="625" customFormat="1" ht="12.75" customHeight="1" spans="1:13">
      <c r="A32" s="675"/>
      <c r="B32" s="676"/>
      <c r="C32" s="677"/>
      <c r="D32" s="675"/>
      <c r="E32" s="675"/>
      <c r="F32" s="432"/>
      <c r="G32" s="675"/>
      <c r="H32" s="654"/>
      <c r="M32" s="695"/>
    </row>
    <row r="33" s="625" customFormat="1" ht="12.75" customHeight="1" spans="1:13">
      <c r="A33" s="675"/>
      <c r="B33" s="676" t="s">
        <v>12</v>
      </c>
      <c r="C33" s="677" t="s">
        <v>54</v>
      </c>
      <c r="D33" s="675"/>
      <c r="E33" s="675"/>
      <c r="F33" s="432"/>
      <c r="G33" s="675"/>
      <c r="H33" s="654"/>
      <c r="M33" s="695">
        <f t="shared" si="0"/>
        <v>997182.95</v>
      </c>
    </row>
    <row r="34" s="625" customFormat="1" ht="22.5" spans="1:13">
      <c r="A34" s="651" t="str">
        <f>'PB VIII - Composições Auxilia'!A14</f>
        <v>COMP. 02 - DPE</v>
      </c>
      <c r="B34" s="669" t="s">
        <v>55</v>
      </c>
      <c r="C34" s="678" t="s">
        <v>56</v>
      </c>
      <c r="D34" s="669" t="s">
        <v>23</v>
      </c>
      <c r="E34" s="432">
        <f>'PB VI - Memorial'!G35</f>
        <v>28.48</v>
      </c>
      <c r="F34" s="653">
        <f>'PB VIII - Composições Auxilia'!F17</f>
        <v>38.71</v>
      </c>
      <c r="G34" s="679">
        <f>ROUND(E34*F34,2)</f>
        <v>1102.46</v>
      </c>
      <c r="H34" s="654"/>
      <c r="M34" s="695">
        <f t="shared" si="0"/>
        <v>997182.95</v>
      </c>
    </row>
    <row r="35" s="625" customFormat="1" ht="22.5" spans="1:13">
      <c r="A35" s="669" t="str">
        <f>'PB VIII - Composições Auxilia'!A20</f>
        <v>COMP. 03 - DPE</v>
      </c>
      <c r="B35" s="669" t="s">
        <v>57</v>
      </c>
      <c r="C35" s="678" t="s">
        <v>58</v>
      </c>
      <c r="D35" s="669" t="s">
        <v>23</v>
      </c>
      <c r="E35" s="432">
        <f>'PB VI - Memorial'!G36</f>
        <v>9.79</v>
      </c>
      <c r="F35" s="653">
        <f>'PB VIII - Composições Auxilia'!F23</f>
        <v>22.46</v>
      </c>
      <c r="G35" s="679">
        <f t="shared" ref="G35:G57" si="3">ROUND(E35*F35,2)</f>
        <v>219.88</v>
      </c>
      <c r="H35" s="654"/>
      <c r="M35" s="695">
        <f t="shared" si="0"/>
        <v>997182.95</v>
      </c>
    </row>
    <row r="36" s="625" customFormat="1" ht="12" spans="1:13">
      <c r="A36" s="669"/>
      <c r="B36" s="669"/>
      <c r="C36" s="678"/>
      <c r="D36" s="669"/>
      <c r="E36" s="432"/>
      <c r="F36" s="653"/>
      <c r="G36" s="679"/>
      <c r="H36" s="654"/>
      <c r="M36" s="695"/>
    </row>
    <row r="37" s="625" customFormat="1" ht="12.75" customHeight="1" spans="1:13">
      <c r="A37" s="186"/>
      <c r="B37" s="680" t="s">
        <v>31</v>
      </c>
      <c r="C37" s="681" t="s">
        <v>59</v>
      </c>
      <c r="D37" s="669"/>
      <c r="E37" s="432"/>
      <c r="F37" s="432"/>
      <c r="G37" s="682"/>
      <c r="H37" s="654"/>
      <c r="M37" s="695">
        <f t="shared" si="0"/>
        <v>997182.95</v>
      </c>
    </row>
    <row r="38" s="625" customFormat="1" ht="25.5" customHeight="1" spans="1:13">
      <c r="A38" s="669">
        <v>73361</v>
      </c>
      <c r="B38" s="669" t="s">
        <v>60</v>
      </c>
      <c r="C38" s="678" t="s">
        <v>61</v>
      </c>
      <c r="D38" s="669" t="s">
        <v>23</v>
      </c>
      <c r="E38" s="432">
        <f>'PB VI - Memorial'!G40</f>
        <v>16.02</v>
      </c>
      <c r="F38" s="670">
        <v>378.67</v>
      </c>
      <c r="G38" s="679">
        <f t="shared" si="3"/>
        <v>6066.29</v>
      </c>
      <c r="H38" s="654"/>
      <c r="M38" s="695">
        <f t="shared" si="0"/>
        <v>997182.95</v>
      </c>
    </row>
    <row r="39" s="625" customFormat="1" ht="12" spans="1:13">
      <c r="A39" s="669">
        <v>94964</v>
      </c>
      <c r="B39" s="669" t="s">
        <v>62</v>
      </c>
      <c r="C39" s="678" t="s">
        <v>63</v>
      </c>
      <c r="D39" s="669" t="s">
        <v>23</v>
      </c>
      <c r="E39" s="432">
        <f>'PB VI - Memorial'!G41+'PB VI - Memorial'!G42</f>
        <v>8</v>
      </c>
      <c r="F39" s="670">
        <v>370.04</v>
      </c>
      <c r="G39" s="679">
        <f t="shared" si="3"/>
        <v>2960.32</v>
      </c>
      <c r="H39" s="683"/>
      <c r="I39" s="696"/>
      <c r="M39" s="695">
        <f t="shared" si="0"/>
        <v>997182.95</v>
      </c>
    </row>
    <row r="40" s="625" customFormat="1" ht="12" spans="1:13">
      <c r="A40" s="669" t="s">
        <v>64</v>
      </c>
      <c r="B40" s="669" t="s">
        <v>65</v>
      </c>
      <c r="C40" s="678" t="s">
        <v>66</v>
      </c>
      <c r="D40" s="669" t="s">
        <v>23</v>
      </c>
      <c r="E40" s="432">
        <f>E39</f>
        <v>8</v>
      </c>
      <c r="F40" s="670">
        <v>143.94</v>
      </c>
      <c r="G40" s="679">
        <f t="shared" si="3"/>
        <v>1151.52</v>
      </c>
      <c r="H40" s="654"/>
      <c r="M40" s="695">
        <f t="shared" si="0"/>
        <v>997182.95</v>
      </c>
    </row>
    <row r="41" s="625" customFormat="1" ht="12.75" customHeight="1" spans="1:13">
      <c r="A41" s="669">
        <v>92777</v>
      </c>
      <c r="B41" s="669" t="s">
        <v>67</v>
      </c>
      <c r="C41" s="678" t="s">
        <v>68</v>
      </c>
      <c r="D41" s="669" t="s">
        <v>69</v>
      </c>
      <c r="E41" s="432">
        <f>'PB VI - Memorial'!G45</f>
        <v>281</v>
      </c>
      <c r="F41" s="670">
        <v>11.16</v>
      </c>
      <c r="G41" s="679">
        <f t="shared" si="3"/>
        <v>3135.96</v>
      </c>
      <c r="H41" s="654"/>
      <c r="M41" s="695">
        <f t="shared" si="0"/>
        <v>997182.95</v>
      </c>
    </row>
    <row r="42" s="625" customFormat="1" ht="12.75" customHeight="1" spans="1:13">
      <c r="A42" s="669">
        <v>92775</v>
      </c>
      <c r="B42" s="669" t="s">
        <v>70</v>
      </c>
      <c r="C42" s="678" t="s">
        <v>71</v>
      </c>
      <c r="D42" s="669" t="s">
        <v>69</v>
      </c>
      <c r="E42" s="432">
        <f>'PB VI - Memorial'!G44</f>
        <v>143</v>
      </c>
      <c r="F42" s="670">
        <v>13.31</v>
      </c>
      <c r="G42" s="679">
        <f t="shared" si="3"/>
        <v>1903.33</v>
      </c>
      <c r="H42" s="654"/>
      <c r="M42" s="695">
        <f t="shared" si="0"/>
        <v>997182.95</v>
      </c>
    </row>
    <row r="43" s="625" customFormat="1" ht="22.5" spans="1:13">
      <c r="A43" s="669">
        <v>5651</v>
      </c>
      <c r="B43" s="669" t="s">
        <v>72</v>
      </c>
      <c r="C43" s="678" t="s">
        <v>73</v>
      </c>
      <c r="D43" s="669" t="s">
        <v>17</v>
      </c>
      <c r="E43" s="432">
        <f>'PB VI - Memorial'!G47</f>
        <v>133.5</v>
      </c>
      <c r="F43" s="670">
        <v>29.91</v>
      </c>
      <c r="G43" s="679">
        <f t="shared" si="3"/>
        <v>3992.99</v>
      </c>
      <c r="H43" s="654"/>
      <c r="M43" s="695">
        <f t="shared" si="0"/>
        <v>997182.95</v>
      </c>
    </row>
    <row r="44" s="625" customFormat="1" ht="12" spans="1:13">
      <c r="A44" s="669"/>
      <c r="B44" s="669"/>
      <c r="C44" s="678"/>
      <c r="D44" s="669"/>
      <c r="E44" s="432"/>
      <c r="F44" s="670"/>
      <c r="G44" s="679"/>
      <c r="H44" s="654"/>
      <c r="M44" s="695"/>
    </row>
    <row r="45" s="625" customFormat="1" ht="12.75" customHeight="1" spans="1:13">
      <c r="A45" s="684"/>
      <c r="B45" s="680" t="s">
        <v>74</v>
      </c>
      <c r="C45" s="681" t="s">
        <v>75</v>
      </c>
      <c r="D45" s="669"/>
      <c r="E45" s="432"/>
      <c r="F45" s="432"/>
      <c r="G45" s="682"/>
      <c r="H45" s="654"/>
      <c r="M45" s="695">
        <f t="shared" si="0"/>
        <v>997182.95</v>
      </c>
    </row>
    <row r="46" s="625" customFormat="1" ht="12" spans="1:13">
      <c r="A46" s="669">
        <v>94964</v>
      </c>
      <c r="B46" s="669" t="s">
        <v>76</v>
      </c>
      <c r="C46" s="678" t="s">
        <v>77</v>
      </c>
      <c r="D46" s="669" t="s">
        <v>23</v>
      </c>
      <c r="E46" s="432">
        <f>'PB VI - Memorial'!G51</f>
        <v>5.52</v>
      </c>
      <c r="F46" s="670">
        <v>370.04</v>
      </c>
      <c r="G46" s="679">
        <f t="shared" si="3"/>
        <v>2042.62</v>
      </c>
      <c r="H46" s="654"/>
      <c r="M46" s="695">
        <f t="shared" si="0"/>
        <v>997182.95</v>
      </c>
    </row>
    <row r="47" s="625" customFormat="1" ht="12" spans="1:13">
      <c r="A47" s="669" t="s">
        <v>64</v>
      </c>
      <c r="B47" s="669" t="s">
        <v>78</v>
      </c>
      <c r="C47" s="678" t="s">
        <v>66</v>
      </c>
      <c r="D47" s="669" t="s">
        <v>23</v>
      </c>
      <c r="E47" s="432">
        <f>E46</f>
        <v>5.52</v>
      </c>
      <c r="F47" s="670">
        <v>143.94</v>
      </c>
      <c r="G47" s="679">
        <f t="shared" si="3"/>
        <v>794.55</v>
      </c>
      <c r="H47" s="654"/>
      <c r="M47" s="695">
        <f t="shared" si="0"/>
        <v>997182.95</v>
      </c>
    </row>
    <row r="48" s="625" customFormat="1" ht="12.75" customHeight="1" spans="1:13">
      <c r="A48" s="669">
        <v>92778</v>
      </c>
      <c r="B48" s="669" t="s">
        <v>79</v>
      </c>
      <c r="C48" s="678" t="s">
        <v>80</v>
      </c>
      <c r="D48" s="669" t="s">
        <v>69</v>
      </c>
      <c r="E48" s="432">
        <f>'PB VI - Memorial'!G54</f>
        <v>425.73</v>
      </c>
      <c r="F48" s="670">
        <v>8.97</v>
      </c>
      <c r="G48" s="679">
        <f t="shared" si="3"/>
        <v>3818.8</v>
      </c>
      <c r="H48" s="654"/>
      <c r="M48" s="695">
        <f t="shared" si="0"/>
        <v>997182.95</v>
      </c>
    </row>
    <row r="49" s="625" customFormat="1" ht="12.75" customHeight="1" spans="1:13">
      <c r="A49" s="669">
        <v>92775</v>
      </c>
      <c r="B49" s="669" t="s">
        <v>81</v>
      </c>
      <c r="C49" s="678" t="s">
        <v>82</v>
      </c>
      <c r="D49" s="669" t="s">
        <v>69</v>
      </c>
      <c r="E49" s="432">
        <f>'PB VI - Memorial'!G53</f>
        <v>111.56</v>
      </c>
      <c r="F49" s="670">
        <v>13.31</v>
      </c>
      <c r="G49" s="679">
        <f t="shared" si="3"/>
        <v>1484.86</v>
      </c>
      <c r="H49" s="654"/>
      <c r="M49" s="695">
        <f t="shared" si="0"/>
        <v>997182.95</v>
      </c>
    </row>
    <row r="50" s="625" customFormat="1" ht="22.5" spans="1:13">
      <c r="A50" s="669">
        <v>92427</v>
      </c>
      <c r="B50" s="669" t="s">
        <v>83</v>
      </c>
      <c r="C50" s="678" t="s">
        <v>84</v>
      </c>
      <c r="D50" s="669" t="s">
        <v>17</v>
      </c>
      <c r="E50" s="432">
        <f>'PB VI - Memorial'!G56</f>
        <v>110</v>
      </c>
      <c r="F50" s="670">
        <v>43.1</v>
      </c>
      <c r="G50" s="679">
        <f t="shared" si="3"/>
        <v>4741</v>
      </c>
      <c r="H50" s="654"/>
      <c r="M50" s="695">
        <f t="shared" si="0"/>
        <v>997182.95</v>
      </c>
    </row>
    <row r="51" s="625" customFormat="1" ht="12" spans="1:13">
      <c r="A51" s="651"/>
      <c r="B51" s="651"/>
      <c r="C51" s="431"/>
      <c r="D51" s="651"/>
      <c r="E51" s="432"/>
      <c r="F51" s="670"/>
      <c r="G51" s="653"/>
      <c r="H51" s="654"/>
      <c r="M51" s="695"/>
    </row>
    <row r="52" s="625" customFormat="1" ht="12.75" customHeight="1" spans="1:13">
      <c r="A52" s="685"/>
      <c r="B52" s="686" t="s">
        <v>85</v>
      </c>
      <c r="C52" s="687" t="s">
        <v>86</v>
      </c>
      <c r="D52" s="685"/>
      <c r="E52" s="685"/>
      <c r="F52" s="685"/>
      <c r="G52" s="685"/>
      <c r="H52" s="654"/>
      <c r="M52" s="695">
        <f t="shared" si="0"/>
        <v>997182.95</v>
      </c>
    </row>
    <row r="53" s="625" customFormat="1" ht="38.25" customHeight="1" spans="1:13">
      <c r="A53" s="669">
        <v>87503</v>
      </c>
      <c r="B53" s="669" t="s">
        <v>87</v>
      </c>
      <c r="C53" s="678" t="s">
        <v>88</v>
      </c>
      <c r="D53" s="669" t="s">
        <v>17</v>
      </c>
      <c r="E53" s="432">
        <f>'PB VI - Memorial'!G59+'PB VI - Memorial'!G60</f>
        <v>316.96</v>
      </c>
      <c r="F53" s="670">
        <v>50.55</v>
      </c>
      <c r="G53" s="679">
        <f t="shared" si="3"/>
        <v>16022.33</v>
      </c>
      <c r="H53" s="654"/>
      <c r="M53" s="695">
        <f t="shared" si="0"/>
        <v>997182.95</v>
      </c>
    </row>
    <row r="54" s="625" customFormat="1" ht="22.5" spans="1:13">
      <c r="A54" s="669">
        <v>87879</v>
      </c>
      <c r="B54" s="669" t="s">
        <v>89</v>
      </c>
      <c r="C54" s="678" t="s">
        <v>90</v>
      </c>
      <c r="D54" s="669" t="s">
        <v>17</v>
      </c>
      <c r="E54" s="432">
        <f>'PB VI - Memorial'!G62</f>
        <v>633.92</v>
      </c>
      <c r="F54" s="432">
        <v>3.05</v>
      </c>
      <c r="G54" s="679">
        <f t="shared" si="3"/>
        <v>1933.46</v>
      </c>
      <c r="H54" s="654"/>
      <c r="M54" s="695">
        <f t="shared" si="0"/>
        <v>997182.95</v>
      </c>
    </row>
    <row r="55" s="625" customFormat="1" ht="33.75" spans="1:13">
      <c r="A55" s="669">
        <v>87547</v>
      </c>
      <c r="B55" s="669" t="s">
        <v>91</v>
      </c>
      <c r="C55" s="678" t="s">
        <v>92</v>
      </c>
      <c r="D55" s="669" t="s">
        <v>17</v>
      </c>
      <c r="E55" s="432">
        <f>'PB VI - Memorial'!G63</f>
        <v>305.9</v>
      </c>
      <c r="F55" s="670">
        <v>17.76</v>
      </c>
      <c r="G55" s="679">
        <f t="shared" si="3"/>
        <v>5432.78</v>
      </c>
      <c r="H55" s="654"/>
      <c r="I55" s="563"/>
      <c r="M55" s="695">
        <f t="shared" si="0"/>
        <v>997182.95</v>
      </c>
    </row>
    <row r="56" s="625" customFormat="1" ht="22.5" spans="1:13">
      <c r="A56" s="651">
        <v>88631</v>
      </c>
      <c r="B56" s="669" t="s">
        <v>93</v>
      </c>
      <c r="C56" s="431" t="s">
        <v>94</v>
      </c>
      <c r="D56" s="651" t="s">
        <v>95</v>
      </c>
      <c r="E56" s="432">
        <f>'PB VI - Memorial'!G64</f>
        <v>143.13</v>
      </c>
      <c r="F56" s="432">
        <f>ROUND(413.09*0.03*0.25,2)</f>
        <v>3.1</v>
      </c>
      <c r="G56" s="653">
        <f t="shared" si="3"/>
        <v>443.7</v>
      </c>
      <c r="H56" s="654"/>
      <c r="I56" s="563"/>
      <c r="M56" s="695">
        <f t="shared" si="0"/>
        <v>997182.95</v>
      </c>
    </row>
    <row r="57" s="625" customFormat="1" ht="22.5" spans="1:13">
      <c r="A57" s="669">
        <v>85096</v>
      </c>
      <c r="B57" s="669" t="s">
        <v>96</v>
      </c>
      <c r="C57" s="678" t="s">
        <v>97</v>
      </c>
      <c r="D57" s="669" t="s">
        <v>17</v>
      </c>
      <c r="E57" s="432">
        <f>'PB VI - Memorial'!G65</f>
        <v>19.5</v>
      </c>
      <c r="F57" s="432">
        <v>341.49</v>
      </c>
      <c r="G57" s="679">
        <f t="shared" si="3"/>
        <v>6659.06</v>
      </c>
      <c r="H57" s="654"/>
      <c r="M57" s="695">
        <f t="shared" si="0"/>
        <v>997182.95</v>
      </c>
    </row>
    <row r="58" s="625" customFormat="1" ht="12" spans="1:13">
      <c r="A58" s="669"/>
      <c r="B58" s="669"/>
      <c r="C58" s="688"/>
      <c r="D58" s="669"/>
      <c r="E58" s="432"/>
      <c r="F58" s="432"/>
      <c r="G58" s="679"/>
      <c r="H58" s="654"/>
      <c r="M58" s="695"/>
    </row>
    <row r="59" s="625" customFormat="1" ht="12" spans="1:13">
      <c r="A59" s="669"/>
      <c r="B59" s="680" t="s">
        <v>98</v>
      </c>
      <c r="C59" s="689" t="s">
        <v>99</v>
      </c>
      <c r="D59" s="669"/>
      <c r="E59" s="432"/>
      <c r="F59" s="690"/>
      <c r="G59" s="679"/>
      <c r="H59" s="654"/>
      <c r="M59" s="695">
        <f t="shared" si="0"/>
        <v>997182.95</v>
      </c>
    </row>
    <row r="60" s="625" customFormat="1" ht="12" spans="1:13">
      <c r="A60" s="691" t="s">
        <v>100</v>
      </c>
      <c r="B60" s="669" t="s">
        <v>101</v>
      </c>
      <c r="C60" s="692" t="s">
        <v>102</v>
      </c>
      <c r="D60" s="669" t="s">
        <v>17</v>
      </c>
      <c r="E60" s="432">
        <f>'PB VI - Memorial'!G68</f>
        <v>305.9</v>
      </c>
      <c r="F60" s="432">
        <v>1.55</v>
      </c>
      <c r="G60" s="693">
        <f>ROUND(E60*F60,2)</f>
        <v>474.15</v>
      </c>
      <c r="H60" s="654"/>
      <c r="M60" s="695">
        <f t="shared" si="0"/>
        <v>997182.95</v>
      </c>
    </row>
    <row r="61" s="625" customFormat="1" ht="22.5" spans="1:13">
      <c r="A61" s="691" t="s">
        <v>103</v>
      </c>
      <c r="B61" s="669" t="s">
        <v>104</v>
      </c>
      <c r="C61" s="692" t="s">
        <v>105</v>
      </c>
      <c r="D61" s="669" t="s">
        <v>17</v>
      </c>
      <c r="E61" s="432">
        <f>E60</f>
        <v>305.9</v>
      </c>
      <c r="F61" s="432">
        <v>9.17</v>
      </c>
      <c r="G61" s="693">
        <f>ROUND(E61*F61,2)</f>
        <v>2805.1</v>
      </c>
      <c r="H61" s="654"/>
      <c r="M61" s="695">
        <f t="shared" si="0"/>
        <v>997182.95</v>
      </c>
    </row>
    <row r="62" s="625" customFormat="1" ht="12" spans="1:13">
      <c r="A62" s="669"/>
      <c r="B62" s="669"/>
      <c r="C62" s="678"/>
      <c r="D62" s="669"/>
      <c r="E62" s="675"/>
      <c r="F62" s="690"/>
      <c r="G62" s="679"/>
      <c r="H62" s="654"/>
      <c r="M62" s="695">
        <f t="shared" si="0"/>
        <v>997182.95</v>
      </c>
    </row>
    <row r="63" s="625" customFormat="1" ht="12.75" customHeight="1" spans="1:13">
      <c r="A63" s="647"/>
      <c r="B63" s="641">
        <v>3</v>
      </c>
      <c r="C63" s="646" t="s">
        <v>106</v>
      </c>
      <c r="D63" s="647"/>
      <c r="E63" s="674"/>
      <c r="F63" s="674"/>
      <c r="G63" s="649">
        <f>ROUND(G64+G65,2)</f>
        <v>6119.13</v>
      </c>
      <c r="H63" s="654"/>
      <c r="M63" s="695">
        <f t="shared" si="0"/>
        <v>997182.95</v>
      </c>
    </row>
    <row r="64" s="625" customFormat="1" ht="22.5" spans="1:13">
      <c r="A64" s="651" t="str">
        <f>A34</f>
        <v>COMP. 02 - DPE</v>
      </c>
      <c r="B64" s="669" t="s">
        <v>107</v>
      </c>
      <c r="C64" s="678" t="s">
        <v>108</v>
      </c>
      <c r="D64" s="669" t="s">
        <v>23</v>
      </c>
      <c r="E64" s="432">
        <f>'PB VI - Memorial'!G89</f>
        <v>108.59</v>
      </c>
      <c r="F64" s="432">
        <f>'PB VIII - Composições Auxilia'!F17</f>
        <v>38.71</v>
      </c>
      <c r="G64" s="694">
        <f>ROUND(E64*F64,2)</f>
        <v>4203.52</v>
      </c>
      <c r="H64" s="654"/>
      <c r="M64" s="695">
        <f t="shared" si="0"/>
        <v>997182.95</v>
      </c>
    </row>
    <row r="65" s="626" customFormat="1" ht="22.5" spans="1:13">
      <c r="A65" s="697" t="str">
        <f>A35</f>
        <v>COMP. 03 - DPE</v>
      </c>
      <c r="B65" s="669" t="s">
        <v>109</v>
      </c>
      <c r="C65" s="698" t="s">
        <v>110</v>
      </c>
      <c r="D65" s="669" t="s">
        <v>23</v>
      </c>
      <c r="E65" s="432">
        <f>E64-E70</f>
        <v>85.29</v>
      </c>
      <c r="F65" s="432">
        <f>'PB VIII - Composições Auxilia'!F23</f>
        <v>22.46</v>
      </c>
      <c r="G65" s="694">
        <f>ROUND(E65*F65,2)</f>
        <v>1915.61</v>
      </c>
      <c r="H65" s="699"/>
      <c r="M65" s="728">
        <f t="shared" si="0"/>
        <v>997182.95</v>
      </c>
    </row>
    <row r="66" s="625" customFormat="1" ht="12.75" customHeight="1" spans="1:13">
      <c r="A66" s="700"/>
      <c r="B66" s="701"/>
      <c r="C66" s="688"/>
      <c r="D66" s="701"/>
      <c r="E66" s="702"/>
      <c r="F66" s="703"/>
      <c r="G66" s="704"/>
      <c r="H66" s="654"/>
      <c r="M66" s="695">
        <f t="shared" si="0"/>
        <v>997182.95</v>
      </c>
    </row>
    <row r="67" s="563" customFormat="1" ht="15" spans="1:253">
      <c r="A67" s="705"/>
      <c r="B67" s="705" t="s">
        <v>111</v>
      </c>
      <c r="C67" s="706" t="s">
        <v>112</v>
      </c>
      <c r="D67" s="707"/>
      <c r="E67" s="708"/>
      <c r="F67" s="709"/>
      <c r="G67" s="710">
        <f>SUM(G70:G143)</f>
        <v>139812.75</v>
      </c>
      <c r="H67" s="711"/>
      <c r="I67" s="711"/>
      <c r="J67" s="711"/>
      <c r="K67" s="711"/>
      <c r="L67" s="711"/>
      <c r="M67" s="695">
        <f t="shared" si="0"/>
        <v>997182.95</v>
      </c>
      <c r="N67" s="729"/>
      <c r="O67" s="729"/>
      <c r="P67" s="729"/>
      <c r="Q67" s="729"/>
      <c r="R67" s="729"/>
      <c r="S67" s="729"/>
      <c r="T67" s="729"/>
      <c r="U67" s="729"/>
      <c r="V67" s="729"/>
      <c r="W67" s="729"/>
      <c r="X67" s="729"/>
      <c r="Y67" s="729"/>
      <c r="Z67" s="729"/>
      <c r="AA67" s="729"/>
      <c r="AB67" s="729"/>
      <c r="AC67" s="729"/>
      <c r="AD67" s="729"/>
      <c r="AE67" s="729"/>
      <c r="AF67" s="729"/>
      <c r="AG67" s="729"/>
      <c r="AH67" s="729"/>
      <c r="AI67" s="729"/>
      <c r="AJ67" s="729"/>
      <c r="AK67" s="729"/>
      <c r="AL67" s="729"/>
      <c r="AM67" s="729"/>
      <c r="AN67" s="729"/>
      <c r="AO67" s="729"/>
      <c r="AP67" s="729"/>
      <c r="AQ67" s="729"/>
      <c r="AR67" s="729"/>
      <c r="AS67" s="729"/>
      <c r="AT67" s="729"/>
      <c r="AU67" s="729"/>
      <c r="AV67" s="729"/>
      <c r="AW67" s="729"/>
      <c r="AX67" s="729"/>
      <c r="AY67" s="729"/>
      <c r="AZ67" s="729"/>
      <c r="BA67" s="729"/>
      <c r="BB67" s="729"/>
      <c r="BC67" s="729"/>
      <c r="BD67" s="729"/>
      <c r="BE67" s="729"/>
      <c r="BF67" s="729"/>
      <c r="BG67" s="729"/>
      <c r="BH67" s="729"/>
      <c r="BI67" s="729"/>
      <c r="BJ67" s="729"/>
      <c r="BK67" s="729"/>
      <c r="BL67" s="729"/>
      <c r="BM67" s="729"/>
      <c r="BN67" s="729"/>
      <c r="BO67" s="729"/>
      <c r="BP67" s="729"/>
      <c r="BQ67" s="729"/>
      <c r="BR67" s="729"/>
      <c r="BS67" s="729"/>
      <c r="BT67" s="729"/>
      <c r="BU67" s="729"/>
      <c r="BV67" s="729"/>
      <c r="BW67" s="732"/>
      <c r="BX67" s="732"/>
      <c r="BY67" s="732"/>
      <c r="BZ67" s="732"/>
      <c r="CA67" s="732"/>
      <c r="CB67" s="732"/>
      <c r="CC67" s="732"/>
      <c r="CD67" s="732"/>
      <c r="CE67" s="732"/>
      <c r="CF67" s="732"/>
      <c r="CG67" s="732"/>
      <c r="CH67" s="732"/>
      <c r="CI67" s="732"/>
      <c r="CJ67" s="732"/>
      <c r="CK67" s="732"/>
      <c r="CL67" s="732"/>
      <c r="CM67" s="732"/>
      <c r="CN67" s="732"/>
      <c r="CO67" s="732"/>
      <c r="CP67" s="732"/>
      <c r="CQ67" s="732"/>
      <c r="CR67" s="732"/>
      <c r="CS67" s="732"/>
      <c r="CT67" s="732"/>
      <c r="CU67" s="732"/>
      <c r="CV67" s="732"/>
      <c r="CW67" s="732"/>
      <c r="CX67" s="732"/>
      <c r="CY67" s="732"/>
      <c r="CZ67" s="732"/>
      <c r="DA67" s="732"/>
      <c r="DB67" s="732"/>
      <c r="DC67" s="732"/>
      <c r="DD67" s="732"/>
      <c r="DE67" s="732"/>
      <c r="DF67" s="732"/>
      <c r="DG67" s="732"/>
      <c r="DH67" s="732"/>
      <c r="DI67" s="732"/>
      <c r="DJ67" s="732"/>
      <c r="DK67" s="732"/>
      <c r="DL67" s="732"/>
      <c r="DM67" s="732"/>
      <c r="DN67" s="732"/>
      <c r="DO67" s="732"/>
      <c r="DP67" s="732"/>
      <c r="DQ67" s="732"/>
      <c r="DR67" s="732"/>
      <c r="DS67" s="732"/>
      <c r="DT67" s="732"/>
      <c r="DU67" s="732"/>
      <c r="DV67" s="732"/>
      <c r="DW67" s="732"/>
      <c r="DX67" s="732"/>
      <c r="DY67" s="732"/>
      <c r="DZ67" s="732"/>
      <c r="EA67" s="732"/>
      <c r="EB67" s="732"/>
      <c r="EC67" s="732"/>
      <c r="ED67" s="732"/>
      <c r="EE67" s="732"/>
      <c r="EF67" s="732"/>
      <c r="EG67" s="732"/>
      <c r="EH67" s="732"/>
      <c r="EI67" s="732"/>
      <c r="EJ67" s="732"/>
      <c r="EK67" s="732"/>
      <c r="EL67" s="732"/>
      <c r="EM67" s="732"/>
      <c r="EN67" s="732"/>
      <c r="EO67" s="732"/>
      <c r="EP67" s="732"/>
      <c r="EQ67" s="732"/>
      <c r="ER67" s="732"/>
      <c r="ES67" s="732"/>
      <c r="ET67" s="732"/>
      <c r="EU67" s="732"/>
      <c r="EV67" s="732"/>
      <c r="EW67" s="732"/>
      <c r="EX67" s="732"/>
      <c r="EY67" s="732"/>
      <c r="EZ67" s="732"/>
      <c r="FA67" s="732"/>
      <c r="FB67" s="732"/>
      <c r="FC67" s="732"/>
      <c r="FD67" s="732"/>
      <c r="FE67" s="732"/>
      <c r="FF67" s="732"/>
      <c r="FG67" s="732"/>
      <c r="FH67" s="732"/>
      <c r="FI67" s="732"/>
      <c r="FJ67" s="732"/>
      <c r="FK67" s="732"/>
      <c r="FL67" s="732"/>
      <c r="FM67" s="732"/>
      <c r="FN67" s="732"/>
      <c r="FO67" s="732"/>
      <c r="FP67" s="732"/>
      <c r="FQ67" s="732"/>
      <c r="FR67" s="732"/>
      <c r="FS67" s="732"/>
      <c r="FT67" s="732"/>
      <c r="FU67" s="732"/>
      <c r="FV67" s="732"/>
      <c r="FW67" s="732"/>
      <c r="FX67" s="732"/>
      <c r="FY67" s="732"/>
      <c r="FZ67" s="732"/>
      <c r="GA67" s="732"/>
      <c r="GB67" s="732"/>
      <c r="GC67" s="732"/>
      <c r="GD67" s="732"/>
      <c r="GE67" s="732"/>
      <c r="GF67" s="732"/>
      <c r="GG67" s="732"/>
      <c r="GH67" s="732"/>
      <c r="GI67" s="732"/>
      <c r="GJ67" s="732"/>
      <c r="GK67" s="732"/>
      <c r="GL67" s="732"/>
      <c r="GM67" s="732"/>
      <c r="GN67" s="732"/>
      <c r="GO67" s="732"/>
      <c r="GP67" s="732"/>
      <c r="GQ67" s="732"/>
      <c r="GR67" s="732"/>
      <c r="GS67" s="732"/>
      <c r="GT67" s="732"/>
      <c r="GU67" s="732"/>
      <c r="GV67" s="732"/>
      <c r="GW67" s="732"/>
      <c r="GX67" s="732"/>
      <c r="GY67" s="732"/>
      <c r="GZ67" s="732"/>
      <c r="HA67" s="732"/>
      <c r="HB67" s="732"/>
      <c r="HC67" s="732"/>
      <c r="HD67" s="732"/>
      <c r="HE67" s="732"/>
      <c r="HF67" s="732"/>
      <c r="HG67" s="732"/>
      <c r="HH67" s="732"/>
      <c r="HI67" s="732"/>
      <c r="HJ67" s="732"/>
      <c r="HK67" s="732"/>
      <c r="HL67" s="732"/>
      <c r="HM67" s="732"/>
      <c r="HN67" s="732"/>
      <c r="HO67" s="732"/>
      <c r="HP67" s="732"/>
      <c r="HQ67" s="732"/>
      <c r="HR67" s="732"/>
      <c r="HS67" s="732"/>
      <c r="HT67" s="732"/>
      <c r="HU67" s="732"/>
      <c r="HV67" s="732"/>
      <c r="HW67" s="732"/>
      <c r="HX67" s="732"/>
      <c r="HY67" s="732"/>
      <c r="HZ67" s="732"/>
      <c r="IA67" s="732"/>
      <c r="IB67" s="732"/>
      <c r="IC67" s="732"/>
      <c r="ID67" s="732"/>
      <c r="IE67" s="732"/>
      <c r="IF67" s="732"/>
      <c r="IG67" s="732"/>
      <c r="IH67" s="732"/>
      <c r="II67" s="732"/>
      <c r="IJ67" s="732"/>
      <c r="IK67" s="732"/>
      <c r="IL67" s="732"/>
      <c r="IM67" s="732"/>
      <c r="IN67" s="732"/>
      <c r="IO67" s="732"/>
      <c r="IP67" s="732"/>
      <c r="IQ67" s="732"/>
      <c r="IR67" s="732"/>
      <c r="IS67" s="732"/>
    </row>
    <row r="68" s="563" customFormat="1" ht="15" spans="1:253">
      <c r="A68" s="712"/>
      <c r="B68" s="712"/>
      <c r="C68" s="712" t="s">
        <v>59</v>
      </c>
      <c r="D68" s="712"/>
      <c r="E68" s="712"/>
      <c r="F68" s="712"/>
      <c r="G68" s="712"/>
      <c r="H68" s="711"/>
      <c r="I68" s="711"/>
      <c r="J68" s="711"/>
      <c r="K68" s="711"/>
      <c r="L68" s="711"/>
      <c r="M68" s="695">
        <f t="shared" si="0"/>
        <v>997182.95</v>
      </c>
      <c r="N68" s="729"/>
      <c r="O68" s="729"/>
      <c r="P68" s="729"/>
      <c r="Q68" s="729"/>
      <c r="R68" s="729"/>
      <c r="S68" s="729"/>
      <c r="T68" s="729"/>
      <c r="U68" s="729"/>
      <c r="V68" s="729"/>
      <c r="W68" s="729"/>
      <c r="X68" s="729"/>
      <c r="Y68" s="729"/>
      <c r="Z68" s="729"/>
      <c r="AA68" s="729"/>
      <c r="AB68" s="729"/>
      <c r="AC68" s="729"/>
      <c r="AD68" s="729"/>
      <c r="AE68" s="729"/>
      <c r="AF68" s="729"/>
      <c r="AG68" s="729"/>
      <c r="AH68" s="729"/>
      <c r="AI68" s="729"/>
      <c r="AJ68" s="729"/>
      <c r="AK68" s="729"/>
      <c r="AL68" s="729"/>
      <c r="AM68" s="729"/>
      <c r="AN68" s="729"/>
      <c r="AO68" s="729"/>
      <c r="AP68" s="729"/>
      <c r="AQ68" s="729"/>
      <c r="AR68" s="729"/>
      <c r="AS68" s="729"/>
      <c r="AT68" s="729"/>
      <c r="AU68" s="729"/>
      <c r="AV68" s="729"/>
      <c r="AW68" s="729"/>
      <c r="AX68" s="729"/>
      <c r="AY68" s="729"/>
      <c r="AZ68" s="729"/>
      <c r="BA68" s="729"/>
      <c r="BB68" s="729"/>
      <c r="BC68" s="729"/>
      <c r="BD68" s="729"/>
      <c r="BE68" s="729"/>
      <c r="BF68" s="729"/>
      <c r="BG68" s="729"/>
      <c r="BH68" s="729"/>
      <c r="BI68" s="729"/>
      <c r="BJ68" s="729"/>
      <c r="BK68" s="729"/>
      <c r="BL68" s="729"/>
      <c r="BM68" s="729"/>
      <c r="BN68" s="729"/>
      <c r="BO68" s="729"/>
      <c r="BP68" s="729"/>
      <c r="BQ68" s="729"/>
      <c r="BR68" s="729"/>
      <c r="BS68" s="729"/>
      <c r="BT68" s="729"/>
      <c r="BU68" s="729"/>
      <c r="BV68" s="729"/>
      <c r="BW68" s="732"/>
      <c r="BX68" s="732"/>
      <c r="BY68" s="732"/>
      <c r="BZ68" s="732"/>
      <c r="CA68" s="732"/>
      <c r="CB68" s="732"/>
      <c r="CC68" s="732"/>
      <c r="CD68" s="732"/>
      <c r="CE68" s="732"/>
      <c r="CF68" s="732"/>
      <c r="CG68" s="732"/>
      <c r="CH68" s="732"/>
      <c r="CI68" s="732"/>
      <c r="CJ68" s="732"/>
      <c r="CK68" s="732"/>
      <c r="CL68" s="732"/>
      <c r="CM68" s="732"/>
      <c r="CN68" s="732"/>
      <c r="CO68" s="732"/>
      <c r="CP68" s="732"/>
      <c r="CQ68" s="732"/>
      <c r="CR68" s="732"/>
      <c r="CS68" s="732"/>
      <c r="CT68" s="732"/>
      <c r="CU68" s="732"/>
      <c r="CV68" s="732"/>
      <c r="CW68" s="732"/>
      <c r="CX68" s="732"/>
      <c r="CY68" s="732"/>
      <c r="CZ68" s="732"/>
      <c r="DA68" s="732"/>
      <c r="DB68" s="732"/>
      <c r="DC68" s="732"/>
      <c r="DD68" s="732"/>
      <c r="DE68" s="732"/>
      <c r="DF68" s="732"/>
      <c r="DG68" s="732"/>
      <c r="DH68" s="732"/>
      <c r="DI68" s="732"/>
      <c r="DJ68" s="732"/>
      <c r="DK68" s="732"/>
      <c r="DL68" s="732"/>
      <c r="DM68" s="732"/>
      <c r="DN68" s="732"/>
      <c r="DO68" s="732"/>
      <c r="DP68" s="732"/>
      <c r="DQ68" s="732"/>
      <c r="DR68" s="732"/>
      <c r="DS68" s="732"/>
      <c r="DT68" s="732"/>
      <c r="DU68" s="732"/>
      <c r="DV68" s="732"/>
      <c r="DW68" s="732"/>
      <c r="DX68" s="732"/>
      <c r="DY68" s="732"/>
      <c r="DZ68" s="732"/>
      <c r="EA68" s="732"/>
      <c r="EB68" s="732"/>
      <c r="EC68" s="732"/>
      <c r="ED68" s="732"/>
      <c r="EE68" s="732"/>
      <c r="EF68" s="732"/>
      <c r="EG68" s="732"/>
      <c r="EH68" s="732"/>
      <c r="EI68" s="732"/>
      <c r="EJ68" s="732"/>
      <c r="EK68" s="732"/>
      <c r="EL68" s="732"/>
      <c r="EM68" s="732"/>
      <c r="EN68" s="732"/>
      <c r="EO68" s="732"/>
      <c r="EP68" s="732"/>
      <c r="EQ68" s="732"/>
      <c r="ER68" s="732"/>
      <c r="ES68" s="732"/>
      <c r="ET68" s="732"/>
      <c r="EU68" s="732"/>
      <c r="EV68" s="732"/>
      <c r="EW68" s="732"/>
      <c r="EX68" s="732"/>
      <c r="EY68" s="732"/>
      <c r="EZ68" s="732"/>
      <c r="FA68" s="732"/>
      <c r="FB68" s="732"/>
      <c r="FC68" s="732"/>
      <c r="FD68" s="732"/>
      <c r="FE68" s="732"/>
      <c r="FF68" s="732"/>
      <c r="FG68" s="732"/>
      <c r="FH68" s="732"/>
      <c r="FI68" s="732"/>
      <c r="FJ68" s="732"/>
      <c r="FK68" s="732"/>
      <c r="FL68" s="732"/>
      <c r="FM68" s="732"/>
      <c r="FN68" s="732"/>
      <c r="FO68" s="732"/>
      <c r="FP68" s="732"/>
      <c r="FQ68" s="732"/>
      <c r="FR68" s="732"/>
      <c r="FS68" s="732"/>
      <c r="FT68" s="732"/>
      <c r="FU68" s="732"/>
      <c r="FV68" s="732"/>
      <c r="FW68" s="732"/>
      <c r="FX68" s="732"/>
      <c r="FY68" s="732"/>
      <c r="FZ68" s="732"/>
      <c r="GA68" s="732"/>
      <c r="GB68" s="732"/>
      <c r="GC68" s="732"/>
      <c r="GD68" s="732"/>
      <c r="GE68" s="732"/>
      <c r="GF68" s="732"/>
      <c r="GG68" s="732"/>
      <c r="GH68" s="732"/>
      <c r="GI68" s="732"/>
      <c r="GJ68" s="732"/>
      <c r="GK68" s="732"/>
      <c r="GL68" s="732"/>
      <c r="GM68" s="732"/>
      <c r="GN68" s="732"/>
      <c r="GO68" s="732"/>
      <c r="GP68" s="732"/>
      <c r="GQ68" s="732"/>
      <c r="GR68" s="732"/>
      <c r="GS68" s="732"/>
      <c r="GT68" s="732"/>
      <c r="GU68" s="732"/>
      <c r="GV68" s="732"/>
      <c r="GW68" s="732"/>
      <c r="GX68" s="732"/>
      <c r="GY68" s="732"/>
      <c r="GZ68" s="732"/>
      <c r="HA68" s="732"/>
      <c r="HB68" s="732"/>
      <c r="HC68" s="732"/>
      <c r="HD68" s="732"/>
      <c r="HE68" s="732"/>
      <c r="HF68" s="732"/>
      <c r="HG68" s="732"/>
      <c r="HH68" s="732"/>
      <c r="HI68" s="732"/>
      <c r="HJ68" s="732"/>
      <c r="HK68" s="732"/>
      <c r="HL68" s="732"/>
      <c r="HM68" s="732"/>
      <c r="HN68" s="732"/>
      <c r="HO68" s="732"/>
      <c r="HP68" s="732"/>
      <c r="HQ68" s="732"/>
      <c r="HR68" s="732"/>
      <c r="HS68" s="732"/>
      <c r="HT68" s="732"/>
      <c r="HU68" s="732"/>
      <c r="HV68" s="732"/>
      <c r="HW68" s="732"/>
      <c r="HX68" s="732"/>
      <c r="HY68" s="732"/>
      <c r="HZ68" s="732"/>
      <c r="IA68" s="732"/>
      <c r="IB68" s="732"/>
      <c r="IC68" s="732"/>
      <c r="ID68" s="732"/>
      <c r="IE68" s="732"/>
      <c r="IF68" s="732"/>
      <c r="IG68" s="732"/>
      <c r="IH68" s="732"/>
      <c r="II68" s="732"/>
      <c r="IJ68" s="732"/>
      <c r="IK68" s="732"/>
      <c r="IL68" s="732"/>
      <c r="IM68" s="732"/>
      <c r="IN68" s="732"/>
      <c r="IO68" s="732"/>
      <c r="IP68" s="732"/>
      <c r="IQ68" s="732"/>
      <c r="IR68" s="732"/>
      <c r="IS68" s="732"/>
    </row>
    <row r="69" s="563" customFormat="1" ht="21" spans="1:253">
      <c r="A69" s="713"/>
      <c r="B69" s="714" t="s">
        <v>12</v>
      </c>
      <c r="C69" s="715" t="s">
        <v>113</v>
      </c>
      <c r="D69" s="716"/>
      <c r="E69" s="717"/>
      <c r="F69" s="718"/>
      <c r="G69" s="718"/>
      <c r="H69" s="711"/>
      <c r="I69" s="711"/>
      <c r="J69" s="711"/>
      <c r="K69" s="711"/>
      <c r="L69" s="711"/>
      <c r="M69" s="695">
        <f t="shared" si="0"/>
        <v>997182.95</v>
      </c>
      <c r="N69" s="729"/>
      <c r="O69" s="729"/>
      <c r="P69" s="729"/>
      <c r="Q69" s="729"/>
      <c r="R69" s="729"/>
      <c r="S69" s="729"/>
      <c r="T69" s="729"/>
      <c r="U69" s="729"/>
      <c r="V69" s="729"/>
      <c r="W69" s="729"/>
      <c r="X69" s="729"/>
      <c r="Y69" s="729"/>
      <c r="Z69" s="729"/>
      <c r="AA69" s="729"/>
      <c r="AB69" s="729"/>
      <c r="AC69" s="729"/>
      <c r="AD69" s="729"/>
      <c r="AE69" s="729"/>
      <c r="AF69" s="729"/>
      <c r="AG69" s="729"/>
      <c r="AH69" s="729"/>
      <c r="AI69" s="729"/>
      <c r="AJ69" s="729"/>
      <c r="AK69" s="729"/>
      <c r="AL69" s="729"/>
      <c r="AM69" s="729"/>
      <c r="AN69" s="729"/>
      <c r="AO69" s="729"/>
      <c r="AP69" s="729"/>
      <c r="AQ69" s="729"/>
      <c r="AR69" s="729"/>
      <c r="AS69" s="729"/>
      <c r="AT69" s="729"/>
      <c r="AU69" s="729"/>
      <c r="AV69" s="729"/>
      <c r="AW69" s="729"/>
      <c r="AX69" s="729"/>
      <c r="AY69" s="729"/>
      <c r="AZ69" s="729"/>
      <c r="BA69" s="729"/>
      <c r="BB69" s="729"/>
      <c r="BC69" s="729"/>
      <c r="BD69" s="729"/>
      <c r="BE69" s="729"/>
      <c r="BF69" s="729"/>
      <c r="BG69" s="729"/>
      <c r="BH69" s="729"/>
      <c r="BI69" s="729"/>
      <c r="BJ69" s="729"/>
      <c r="BK69" s="729"/>
      <c r="BL69" s="729"/>
      <c r="BM69" s="729"/>
      <c r="BN69" s="729"/>
      <c r="BO69" s="729"/>
      <c r="BP69" s="729"/>
      <c r="BQ69" s="729"/>
      <c r="BR69" s="729"/>
      <c r="BS69" s="729"/>
      <c r="BT69" s="729"/>
      <c r="BU69" s="729"/>
      <c r="BV69" s="729"/>
      <c r="BW69" s="732"/>
      <c r="BX69" s="732"/>
      <c r="BY69" s="732"/>
      <c r="BZ69" s="732"/>
      <c r="CA69" s="732"/>
      <c r="CB69" s="732"/>
      <c r="CC69" s="732"/>
      <c r="CD69" s="732"/>
      <c r="CE69" s="732"/>
      <c r="CF69" s="732"/>
      <c r="CG69" s="732"/>
      <c r="CH69" s="732"/>
      <c r="CI69" s="732"/>
      <c r="CJ69" s="732"/>
      <c r="CK69" s="732"/>
      <c r="CL69" s="732"/>
      <c r="CM69" s="732"/>
      <c r="CN69" s="732"/>
      <c r="CO69" s="732"/>
      <c r="CP69" s="732"/>
      <c r="CQ69" s="732"/>
      <c r="CR69" s="732"/>
      <c r="CS69" s="732"/>
      <c r="CT69" s="732"/>
      <c r="CU69" s="732"/>
      <c r="CV69" s="732"/>
      <c r="CW69" s="732"/>
      <c r="CX69" s="732"/>
      <c r="CY69" s="732"/>
      <c r="CZ69" s="732"/>
      <c r="DA69" s="732"/>
      <c r="DB69" s="732"/>
      <c r="DC69" s="732"/>
      <c r="DD69" s="732"/>
      <c r="DE69" s="732"/>
      <c r="DF69" s="732"/>
      <c r="DG69" s="732"/>
      <c r="DH69" s="732"/>
      <c r="DI69" s="732"/>
      <c r="DJ69" s="732"/>
      <c r="DK69" s="732"/>
      <c r="DL69" s="732"/>
      <c r="DM69" s="732"/>
      <c r="DN69" s="732"/>
      <c r="DO69" s="732"/>
      <c r="DP69" s="732"/>
      <c r="DQ69" s="732"/>
      <c r="DR69" s="732"/>
      <c r="DS69" s="732"/>
      <c r="DT69" s="732"/>
      <c r="DU69" s="732"/>
      <c r="DV69" s="732"/>
      <c r="DW69" s="732"/>
      <c r="DX69" s="732"/>
      <c r="DY69" s="732"/>
      <c r="DZ69" s="732"/>
      <c r="EA69" s="732"/>
      <c r="EB69" s="732"/>
      <c r="EC69" s="732"/>
      <c r="ED69" s="732"/>
      <c r="EE69" s="732"/>
      <c r="EF69" s="732"/>
      <c r="EG69" s="732"/>
      <c r="EH69" s="732"/>
      <c r="EI69" s="732"/>
      <c r="EJ69" s="732"/>
      <c r="EK69" s="732"/>
      <c r="EL69" s="732"/>
      <c r="EM69" s="732"/>
      <c r="EN69" s="732"/>
      <c r="EO69" s="732"/>
      <c r="EP69" s="732"/>
      <c r="EQ69" s="732"/>
      <c r="ER69" s="732"/>
      <c r="ES69" s="732"/>
      <c r="ET69" s="732"/>
      <c r="EU69" s="732"/>
      <c r="EV69" s="732"/>
      <c r="EW69" s="732"/>
      <c r="EX69" s="732"/>
      <c r="EY69" s="732"/>
      <c r="EZ69" s="732"/>
      <c r="FA69" s="732"/>
      <c r="FB69" s="732"/>
      <c r="FC69" s="732"/>
      <c r="FD69" s="732"/>
      <c r="FE69" s="732"/>
      <c r="FF69" s="732"/>
      <c r="FG69" s="732"/>
      <c r="FH69" s="732"/>
      <c r="FI69" s="732"/>
      <c r="FJ69" s="732"/>
      <c r="FK69" s="732"/>
      <c r="FL69" s="732"/>
      <c r="FM69" s="732"/>
      <c r="FN69" s="732"/>
      <c r="FO69" s="732"/>
      <c r="FP69" s="732"/>
      <c r="FQ69" s="732"/>
      <c r="FR69" s="732"/>
      <c r="FS69" s="732"/>
      <c r="FT69" s="732"/>
      <c r="FU69" s="732"/>
      <c r="FV69" s="732"/>
      <c r="FW69" s="732"/>
      <c r="FX69" s="732"/>
      <c r="FY69" s="732"/>
      <c r="FZ69" s="732"/>
      <c r="GA69" s="732"/>
      <c r="GB69" s="732"/>
      <c r="GC69" s="732"/>
      <c r="GD69" s="732"/>
      <c r="GE69" s="732"/>
      <c r="GF69" s="732"/>
      <c r="GG69" s="732"/>
      <c r="GH69" s="732"/>
      <c r="GI69" s="732"/>
      <c r="GJ69" s="732"/>
      <c r="GK69" s="732"/>
      <c r="GL69" s="732"/>
      <c r="GM69" s="732"/>
      <c r="GN69" s="732"/>
      <c r="GO69" s="732"/>
      <c r="GP69" s="732"/>
      <c r="GQ69" s="732"/>
      <c r="GR69" s="732"/>
      <c r="GS69" s="732"/>
      <c r="GT69" s="732"/>
      <c r="GU69" s="732"/>
      <c r="GV69" s="732"/>
      <c r="GW69" s="732"/>
      <c r="GX69" s="732"/>
      <c r="GY69" s="732"/>
      <c r="GZ69" s="732"/>
      <c r="HA69" s="732"/>
      <c r="HB69" s="732"/>
      <c r="HC69" s="732"/>
      <c r="HD69" s="732"/>
      <c r="HE69" s="732"/>
      <c r="HF69" s="732"/>
      <c r="HG69" s="732"/>
      <c r="HH69" s="732"/>
      <c r="HI69" s="732"/>
      <c r="HJ69" s="732"/>
      <c r="HK69" s="732"/>
      <c r="HL69" s="732"/>
      <c r="HM69" s="732"/>
      <c r="HN69" s="732"/>
      <c r="HO69" s="732"/>
      <c r="HP69" s="732"/>
      <c r="HQ69" s="732"/>
      <c r="HR69" s="732"/>
      <c r="HS69" s="732"/>
      <c r="HT69" s="732"/>
      <c r="HU69" s="732"/>
      <c r="HV69" s="732"/>
      <c r="HW69" s="732"/>
      <c r="HX69" s="732"/>
      <c r="HY69" s="732"/>
      <c r="HZ69" s="732"/>
      <c r="IA69" s="732"/>
      <c r="IB69" s="732"/>
      <c r="IC69" s="732"/>
      <c r="ID69" s="732"/>
      <c r="IE69" s="732"/>
      <c r="IF69" s="732"/>
      <c r="IG69" s="732"/>
      <c r="IH69" s="732"/>
      <c r="II69" s="732"/>
      <c r="IJ69" s="732"/>
      <c r="IK69" s="732"/>
      <c r="IL69" s="732"/>
      <c r="IM69" s="732"/>
      <c r="IN69" s="732"/>
      <c r="IO69" s="732"/>
      <c r="IP69" s="732"/>
      <c r="IQ69" s="732"/>
      <c r="IR69" s="732"/>
      <c r="IS69" s="732"/>
    </row>
    <row r="70" s="563" customFormat="1" ht="15" spans="1:253">
      <c r="A70" s="719" t="s">
        <v>114</v>
      </c>
      <c r="B70" s="657" t="s">
        <v>115</v>
      </c>
      <c r="C70" s="698" t="s">
        <v>116</v>
      </c>
      <c r="D70" s="716" t="s">
        <v>23</v>
      </c>
      <c r="E70" s="720">
        <f>'PB VI - Memorial'!B96</f>
        <v>23.3</v>
      </c>
      <c r="F70" s="694">
        <v>393.85</v>
      </c>
      <c r="G70" s="694">
        <f>ROUND(E70*F70,2)</f>
        <v>9176.71</v>
      </c>
      <c r="H70" s="711"/>
      <c r="I70" s="711"/>
      <c r="J70" s="711"/>
      <c r="K70" s="711"/>
      <c r="L70" s="711"/>
      <c r="M70" s="695">
        <f t="shared" si="0"/>
        <v>997182.95</v>
      </c>
      <c r="N70" s="729"/>
      <c r="O70" s="729"/>
      <c r="P70" s="729"/>
      <c r="Q70" s="729"/>
      <c r="R70" s="729"/>
      <c r="S70" s="729"/>
      <c r="T70" s="729"/>
      <c r="U70" s="729"/>
      <c r="V70" s="729"/>
      <c r="W70" s="729"/>
      <c r="X70" s="729"/>
      <c r="Y70" s="729"/>
      <c r="Z70" s="729"/>
      <c r="AA70" s="729"/>
      <c r="AB70" s="729"/>
      <c r="AC70" s="729"/>
      <c r="AD70" s="729"/>
      <c r="AE70" s="729"/>
      <c r="AF70" s="729"/>
      <c r="AG70" s="729"/>
      <c r="AH70" s="729"/>
      <c r="AI70" s="729"/>
      <c r="AJ70" s="729"/>
      <c r="AK70" s="729"/>
      <c r="AL70" s="729"/>
      <c r="AM70" s="729"/>
      <c r="AN70" s="729"/>
      <c r="AO70" s="729"/>
      <c r="AP70" s="729"/>
      <c r="AQ70" s="729"/>
      <c r="AR70" s="729"/>
      <c r="AS70" s="729"/>
      <c r="AT70" s="729"/>
      <c r="AU70" s="729"/>
      <c r="AV70" s="729"/>
      <c r="AW70" s="729"/>
      <c r="AX70" s="729"/>
      <c r="AY70" s="729"/>
      <c r="AZ70" s="729"/>
      <c r="BA70" s="729"/>
      <c r="BB70" s="729"/>
      <c r="BC70" s="729"/>
      <c r="BD70" s="729"/>
      <c r="BE70" s="729"/>
      <c r="BF70" s="729"/>
      <c r="BG70" s="729"/>
      <c r="BH70" s="729"/>
      <c r="BI70" s="729"/>
      <c r="BJ70" s="729"/>
      <c r="BK70" s="729"/>
      <c r="BL70" s="729"/>
      <c r="BM70" s="729"/>
      <c r="BN70" s="729"/>
      <c r="BO70" s="729"/>
      <c r="BP70" s="729"/>
      <c r="BQ70" s="729"/>
      <c r="BR70" s="729"/>
      <c r="BS70" s="729"/>
      <c r="BT70" s="729"/>
      <c r="BU70" s="729"/>
      <c r="BV70" s="729"/>
      <c r="BW70" s="732"/>
      <c r="BX70" s="732"/>
      <c r="BY70" s="732"/>
      <c r="BZ70" s="732"/>
      <c r="CA70" s="732"/>
      <c r="CB70" s="732"/>
      <c r="CC70" s="732"/>
      <c r="CD70" s="732"/>
      <c r="CE70" s="732"/>
      <c r="CF70" s="732"/>
      <c r="CG70" s="732"/>
      <c r="CH70" s="732"/>
      <c r="CI70" s="732"/>
      <c r="CJ70" s="732"/>
      <c r="CK70" s="732"/>
      <c r="CL70" s="732"/>
      <c r="CM70" s="732"/>
      <c r="CN70" s="732"/>
      <c r="CO70" s="732"/>
      <c r="CP70" s="732"/>
      <c r="CQ70" s="732"/>
      <c r="CR70" s="732"/>
      <c r="CS70" s="732"/>
      <c r="CT70" s="732"/>
      <c r="CU70" s="732"/>
      <c r="CV70" s="732"/>
      <c r="CW70" s="732"/>
      <c r="CX70" s="732"/>
      <c r="CY70" s="732"/>
      <c r="CZ70" s="732"/>
      <c r="DA70" s="732"/>
      <c r="DB70" s="732"/>
      <c r="DC70" s="732"/>
      <c r="DD70" s="732"/>
      <c r="DE70" s="732"/>
      <c r="DF70" s="732"/>
      <c r="DG70" s="732"/>
      <c r="DH70" s="732"/>
      <c r="DI70" s="732"/>
      <c r="DJ70" s="732"/>
      <c r="DK70" s="732"/>
      <c r="DL70" s="732"/>
      <c r="DM70" s="732"/>
      <c r="DN70" s="732"/>
      <c r="DO70" s="732"/>
      <c r="DP70" s="732"/>
      <c r="DQ70" s="732"/>
      <c r="DR70" s="732"/>
      <c r="DS70" s="732"/>
      <c r="DT70" s="732"/>
      <c r="DU70" s="732"/>
      <c r="DV70" s="732"/>
      <c r="DW70" s="732"/>
      <c r="DX70" s="732"/>
      <c r="DY70" s="732"/>
      <c r="DZ70" s="732"/>
      <c r="EA70" s="732"/>
      <c r="EB70" s="732"/>
      <c r="EC70" s="732"/>
      <c r="ED70" s="732"/>
      <c r="EE70" s="732"/>
      <c r="EF70" s="732"/>
      <c r="EG70" s="732"/>
      <c r="EH70" s="732"/>
      <c r="EI70" s="732"/>
      <c r="EJ70" s="732"/>
      <c r="EK70" s="732"/>
      <c r="EL70" s="732"/>
      <c r="EM70" s="732"/>
      <c r="EN70" s="732"/>
      <c r="EO70" s="732"/>
      <c r="EP70" s="732"/>
      <c r="EQ70" s="732"/>
      <c r="ER70" s="732"/>
      <c r="ES70" s="732"/>
      <c r="ET70" s="732"/>
      <c r="EU70" s="732"/>
      <c r="EV70" s="732"/>
      <c r="EW70" s="732"/>
      <c r="EX70" s="732"/>
      <c r="EY70" s="732"/>
      <c r="EZ70" s="732"/>
      <c r="FA70" s="732"/>
      <c r="FB70" s="732"/>
      <c r="FC70" s="732"/>
      <c r="FD70" s="732"/>
      <c r="FE70" s="732"/>
      <c r="FF70" s="732"/>
      <c r="FG70" s="732"/>
      <c r="FH70" s="732"/>
      <c r="FI70" s="732"/>
      <c r="FJ70" s="732"/>
      <c r="FK70" s="732"/>
      <c r="FL70" s="732"/>
      <c r="FM70" s="732"/>
      <c r="FN70" s="732"/>
      <c r="FO70" s="732"/>
      <c r="FP70" s="732"/>
      <c r="FQ70" s="732"/>
      <c r="FR70" s="732"/>
      <c r="FS70" s="732"/>
      <c r="FT70" s="732"/>
      <c r="FU70" s="732"/>
      <c r="FV70" s="732"/>
      <c r="FW70" s="732"/>
      <c r="FX70" s="732"/>
      <c r="FY70" s="732"/>
      <c r="FZ70" s="732"/>
      <c r="GA70" s="732"/>
      <c r="GB70" s="732"/>
      <c r="GC70" s="732"/>
      <c r="GD70" s="732"/>
      <c r="GE70" s="732"/>
      <c r="GF70" s="732"/>
      <c r="GG70" s="732"/>
      <c r="GH70" s="732"/>
      <c r="GI70" s="732"/>
      <c r="GJ70" s="732"/>
      <c r="GK70" s="732"/>
      <c r="GL70" s="732"/>
      <c r="GM70" s="732"/>
      <c r="GN70" s="732"/>
      <c r="GO70" s="732"/>
      <c r="GP70" s="732"/>
      <c r="GQ70" s="732"/>
      <c r="GR70" s="732"/>
      <c r="GS70" s="732"/>
      <c r="GT70" s="732"/>
      <c r="GU70" s="732"/>
      <c r="GV70" s="732"/>
      <c r="GW70" s="732"/>
      <c r="GX70" s="732"/>
      <c r="GY70" s="732"/>
      <c r="GZ70" s="732"/>
      <c r="HA70" s="732"/>
      <c r="HB70" s="732"/>
      <c r="HC70" s="732"/>
      <c r="HD70" s="732"/>
      <c r="HE70" s="732"/>
      <c r="HF70" s="732"/>
      <c r="HG70" s="732"/>
      <c r="HH70" s="732"/>
      <c r="HI70" s="732"/>
      <c r="HJ70" s="732"/>
      <c r="HK70" s="732"/>
      <c r="HL70" s="732"/>
      <c r="HM70" s="732"/>
      <c r="HN70" s="732"/>
      <c r="HO70" s="732"/>
      <c r="HP70" s="732"/>
      <c r="HQ70" s="732"/>
      <c r="HR70" s="732"/>
      <c r="HS70" s="732"/>
      <c r="HT70" s="732"/>
      <c r="HU70" s="732"/>
      <c r="HV70" s="732"/>
      <c r="HW70" s="732"/>
      <c r="HX70" s="732"/>
      <c r="HY70" s="732"/>
      <c r="HZ70" s="732"/>
      <c r="IA70" s="732"/>
      <c r="IB70" s="732"/>
      <c r="IC70" s="732"/>
      <c r="ID70" s="732"/>
      <c r="IE70" s="732"/>
      <c r="IF70" s="732"/>
      <c r="IG70" s="732"/>
      <c r="IH70" s="732"/>
      <c r="II70" s="732"/>
      <c r="IJ70" s="732"/>
      <c r="IK70" s="732"/>
      <c r="IL70" s="732"/>
      <c r="IM70" s="732"/>
      <c r="IN70" s="732"/>
      <c r="IO70" s="732"/>
      <c r="IP70" s="732"/>
      <c r="IQ70" s="732"/>
      <c r="IR70" s="732"/>
      <c r="IS70" s="732"/>
    </row>
    <row r="71" s="563" customFormat="1" ht="15" spans="1:253">
      <c r="A71" s="719" t="s">
        <v>64</v>
      </c>
      <c r="B71" s="657" t="s">
        <v>117</v>
      </c>
      <c r="C71" s="698" t="s">
        <v>118</v>
      </c>
      <c r="D71" s="716" t="s">
        <v>23</v>
      </c>
      <c r="E71" s="720">
        <f>E70</f>
        <v>23.3</v>
      </c>
      <c r="F71" s="694">
        <v>143.94</v>
      </c>
      <c r="G71" s="694">
        <f t="shared" ref="G71:G78" si="4">ROUND(E71*F71,2)</f>
        <v>3353.8</v>
      </c>
      <c r="H71" s="711"/>
      <c r="I71" s="711"/>
      <c r="J71" s="711"/>
      <c r="K71" s="711"/>
      <c r="L71" s="711"/>
      <c r="M71" s="695">
        <f t="shared" si="0"/>
        <v>997182.95</v>
      </c>
      <c r="N71" s="729"/>
      <c r="O71" s="729"/>
      <c r="P71" s="729"/>
      <c r="Q71" s="729"/>
      <c r="R71" s="729"/>
      <c r="S71" s="729"/>
      <c r="T71" s="729"/>
      <c r="U71" s="729"/>
      <c r="V71" s="729"/>
      <c r="W71" s="729"/>
      <c r="X71" s="729"/>
      <c r="Y71" s="729"/>
      <c r="Z71" s="729"/>
      <c r="AA71" s="729"/>
      <c r="AB71" s="729"/>
      <c r="AC71" s="729"/>
      <c r="AD71" s="729"/>
      <c r="AE71" s="729"/>
      <c r="AF71" s="729"/>
      <c r="AG71" s="729"/>
      <c r="AH71" s="729"/>
      <c r="AI71" s="729"/>
      <c r="AJ71" s="729"/>
      <c r="AK71" s="729"/>
      <c r="AL71" s="729"/>
      <c r="AM71" s="729"/>
      <c r="AN71" s="729"/>
      <c r="AO71" s="729"/>
      <c r="AP71" s="729"/>
      <c r="AQ71" s="729"/>
      <c r="AR71" s="729"/>
      <c r="AS71" s="729"/>
      <c r="AT71" s="729"/>
      <c r="AU71" s="729"/>
      <c r="AV71" s="729"/>
      <c r="AW71" s="729"/>
      <c r="AX71" s="729"/>
      <c r="AY71" s="729"/>
      <c r="AZ71" s="729"/>
      <c r="BA71" s="729"/>
      <c r="BB71" s="729"/>
      <c r="BC71" s="729"/>
      <c r="BD71" s="729"/>
      <c r="BE71" s="729"/>
      <c r="BF71" s="729"/>
      <c r="BG71" s="729"/>
      <c r="BH71" s="729"/>
      <c r="BI71" s="729"/>
      <c r="BJ71" s="729"/>
      <c r="BK71" s="729"/>
      <c r="BL71" s="729"/>
      <c r="BM71" s="729"/>
      <c r="BN71" s="729"/>
      <c r="BO71" s="729"/>
      <c r="BP71" s="729"/>
      <c r="BQ71" s="729"/>
      <c r="BR71" s="729"/>
      <c r="BS71" s="729"/>
      <c r="BT71" s="729"/>
      <c r="BU71" s="729"/>
      <c r="BV71" s="729"/>
      <c r="BW71" s="732"/>
      <c r="BX71" s="732"/>
      <c r="BY71" s="732"/>
      <c r="BZ71" s="732"/>
      <c r="CA71" s="732"/>
      <c r="CB71" s="732"/>
      <c r="CC71" s="732"/>
      <c r="CD71" s="732"/>
      <c r="CE71" s="732"/>
      <c r="CF71" s="732"/>
      <c r="CG71" s="732"/>
      <c r="CH71" s="732"/>
      <c r="CI71" s="732"/>
      <c r="CJ71" s="732"/>
      <c r="CK71" s="732"/>
      <c r="CL71" s="732"/>
      <c r="CM71" s="732"/>
      <c r="CN71" s="732"/>
      <c r="CO71" s="732"/>
      <c r="CP71" s="732"/>
      <c r="CQ71" s="732"/>
      <c r="CR71" s="732"/>
      <c r="CS71" s="732"/>
      <c r="CT71" s="732"/>
      <c r="CU71" s="732"/>
      <c r="CV71" s="732"/>
      <c r="CW71" s="732"/>
      <c r="CX71" s="732"/>
      <c r="CY71" s="732"/>
      <c r="CZ71" s="732"/>
      <c r="DA71" s="732"/>
      <c r="DB71" s="732"/>
      <c r="DC71" s="732"/>
      <c r="DD71" s="732"/>
      <c r="DE71" s="732"/>
      <c r="DF71" s="732"/>
      <c r="DG71" s="732"/>
      <c r="DH71" s="732"/>
      <c r="DI71" s="732"/>
      <c r="DJ71" s="732"/>
      <c r="DK71" s="732"/>
      <c r="DL71" s="732"/>
      <c r="DM71" s="732"/>
      <c r="DN71" s="732"/>
      <c r="DO71" s="732"/>
      <c r="DP71" s="732"/>
      <c r="DQ71" s="732"/>
      <c r="DR71" s="732"/>
      <c r="DS71" s="732"/>
      <c r="DT71" s="732"/>
      <c r="DU71" s="732"/>
      <c r="DV71" s="732"/>
      <c r="DW71" s="732"/>
      <c r="DX71" s="732"/>
      <c r="DY71" s="732"/>
      <c r="DZ71" s="732"/>
      <c r="EA71" s="732"/>
      <c r="EB71" s="732"/>
      <c r="EC71" s="732"/>
      <c r="ED71" s="732"/>
      <c r="EE71" s="732"/>
      <c r="EF71" s="732"/>
      <c r="EG71" s="732"/>
      <c r="EH71" s="732"/>
      <c r="EI71" s="732"/>
      <c r="EJ71" s="732"/>
      <c r="EK71" s="732"/>
      <c r="EL71" s="732"/>
      <c r="EM71" s="732"/>
      <c r="EN71" s="732"/>
      <c r="EO71" s="732"/>
      <c r="EP71" s="732"/>
      <c r="EQ71" s="732"/>
      <c r="ER71" s="732"/>
      <c r="ES71" s="732"/>
      <c r="ET71" s="732"/>
      <c r="EU71" s="732"/>
      <c r="EV71" s="732"/>
      <c r="EW71" s="732"/>
      <c r="EX71" s="732"/>
      <c r="EY71" s="732"/>
      <c r="EZ71" s="732"/>
      <c r="FA71" s="732"/>
      <c r="FB71" s="732"/>
      <c r="FC71" s="732"/>
      <c r="FD71" s="732"/>
      <c r="FE71" s="732"/>
      <c r="FF71" s="732"/>
      <c r="FG71" s="732"/>
      <c r="FH71" s="732"/>
      <c r="FI71" s="732"/>
      <c r="FJ71" s="732"/>
      <c r="FK71" s="732"/>
      <c r="FL71" s="732"/>
      <c r="FM71" s="732"/>
      <c r="FN71" s="732"/>
      <c r="FO71" s="732"/>
      <c r="FP71" s="732"/>
      <c r="FQ71" s="732"/>
      <c r="FR71" s="732"/>
      <c r="FS71" s="732"/>
      <c r="FT71" s="732"/>
      <c r="FU71" s="732"/>
      <c r="FV71" s="732"/>
      <c r="FW71" s="732"/>
      <c r="FX71" s="732"/>
      <c r="FY71" s="732"/>
      <c r="FZ71" s="732"/>
      <c r="GA71" s="732"/>
      <c r="GB71" s="732"/>
      <c r="GC71" s="732"/>
      <c r="GD71" s="732"/>
      <c r="GE71" s="732"/>
      <c r="GF71" s="732"/>
      <c r="GG71" s="732"/>
      <c r="GH71" s="732"/>
      <c r="GI71" s="732"/>
      <c r="GJ71" s="732"/>
      <c r="GK71" s="732"/>
      <c r="GL71" s="732"/>
      <c r="GM71" s="732"/>
      <c r="GN71" s="732"/>
      <c r="GO71" s="732"/>
      <c r="GP71" s="732"/>
      <c r="GQ71" s="732"/>
      <c r="GR71" s="732"/>
      <c r="GS71" s="732"/>
      <c r="GT71" s="732"/>
      <c r="GU71" s="732"/>
      <c r="GV71" s="732"/>
      <c r="GW71" s="732"/>
      <c r="GX71" s="732"/>
      <c r="GY71" s="732"/>
      <c r="GZ71" s="732"/>
      <c r="HA71" s="732"/>
      <c r="HB71" s="732"/>
      <c r="HC71" s="732"/>
      <c r="HD71" s="732"/>
      <c r="HE71" s="732"/>
      <c r="HF71" s="732"/>
      <c r="HG71" s="732"/>
      <c r="HH71" s="732"/>
      <c r="HI71" s="732"/>
      <c r="HJ71" s="732"/>
      <c r="HK71" s="732"/>
      <c r="HL71" s="732"/>
      <c r="HM71" s="732"/>
      <c r="HN71" s="732"/>
      <c r="HO71" s="732"/>
      <c r="HP71" s="732"/>
      <c r="HQ71" s="732"/>
      <c r="HR71" s="732"/>
      <c r="HS71" s="732"/>
      <c r="HT71" s="732"/>
      <c r="HU71" s="732"/>
      <c r="HV71" s="732"/>
      <c r="HW71" s="732"/>
      <c r="HX71" s="732"/>
      <c r="HY71" s="732"/>
      <c r="HZ71" s="732"/>
      <c r="IA71" s="732"/>
      <c r="IB71" s="732"/>
      <c r="IC71" s="732"/>
      <c r="ID71" s="732"/>
      <c r="IE71" s="732"/>
      <c r="IF71" s="732"/>
      <c r="IG71" s="732"/>
      <c r="IH71" s="732"/>
      <c r="II71" s="732"/>
      <c r="IJ71" s="732"/>
      <c r="IK71" s="732"/>
      <c r="IL71" s="732"/>
      <c r="IM71" s="732"/>
      <c r="IN71" s="732"/>
      <c r="IO71" s="732"/>
      <c r="IP71" s="732"/>
      <c r="IQ71" s="732"/>
      <c r="IR71" s="732"/>
      <c r="IS71" s="732"/>
    </row>
    <row r="72" s="563" customFormat="1" ht="15" spans="1:253">
      <c r="A72" s="719" t="s">
        <v>119</v>
      </c>
      <c r="B72" s="657" t="s">
        <v>120</v>
      </c>
      <c r="C72" s="698" t="s">
        <v>121</v>
      </c>
      <c r="D72" s="716" t="s">
        <v>17</v>
      </c>
      <c r="E72" s="720">
        <f>'PB VI - Memorial'!C96</f>
        <v>129.41</v>
      </c>
      <c r="F72" s="694">
        <v>29.91</v>
      </c>
      <c r="G72" s="694">
        <f t="shared" si="4"/>
        <v>3870.65</v>
      </c>
      <c r="H72" s="711"/>
      <c r="I72" s="711"/>
      <c r="J72" s="711"/>
      <c r="K72" s="711"/>
      <c r="L72" s="711"/>
      <c r="M72" s="695">
        <f t="shared" si="0"/>
        <v>997182.95</v>
      </c>
      <c r="N72" s="729"/>
      <c r="O72" s="729"/>
      <c r="P72" s="729"/>
      <c r="Q72" s="729"/>
      <c r="R72" s="729"/>
      <c r="S72" s="729"/>
      <c r="T72" s="729"/>
      <c r="U72" s="729"/>
      <c r="V72" s="729"/>
      <c r="W72" s="729"/>
      <c r="X72" s="729"/>
      <c r="Y72" s="729"/>
      <c r="Z72" s="729"/>
      <c r="AA72" s="729"/>
      <c r="AB72" s="729"/>
      <c r="AC72" s="729"/>
      <c r="AD72" s="729"/>
      <c r="AE72" s="729"/>
      <c r="AF72" s="729"/>
      <c r="AG72" s="729"/>
      <c r="AH72" s="729"/>
      <c r="AI72" s="729"/>
      <c r="AJ72" s="729"/>
      <c r="AK72" s="729"/>
      <c r="AL72" s="729"/>
      <c r="AM72" s="729"/>
      <c r="AN72" s="729"/>
      <c r="AO72" s="729"/>
      <c r="AP72" s="729"/>
      <c r="AQ72" s="729"/>
      <c r="AR72" s="729"/>
      <c r="AS72" s="729"/>
      <c r="AT72" s="729"/>
      <c r="AU72" s="729"/>
      <c r="AV72" s="729"/>
      <c r="AW72" s="729"/>
      <c r="AX72" s="729"/>
      <c r="AY72" s="729"/>
      <c r="AZ72" s="729"/>
      <c r="BA72" s="729"/>
      <c r="BB72" s="729"/>
      <c r="BC72" s="729"/>
      <c r="BD72" s="729"/>
      <c r="BE72" s="729"/>
      <c r="BF72" s="729"/>
      <c r="BG72" s="729"/>
      <c r="BH72" s="729"/>
      <c r="BI72" s="729"/>
      <c r="BJ72" s="729"/>
      <c r="BK72" s="729"/>
      <c r="BL72" s="729"/>
      <c r="BM72" s="729"/>
      <c r="BN72" s="729"/>
      <c r="BO72" s="729"/>
      <c r="BP72" s="729"/>
      <c r="BQ72" s="729"/>
      <c r="BR72" s="729"/>
      <c r="BS72" s="729"/>
      <c r="BT72" s="729"/>
      <c r="BU72" s="729"/>
      <c r="BV72" s="729"/>
      <c r="BW72" s="732"/>
      <c r="BX72" s="732"/>
      <c r="BY72" s="732"/>
      <c r="BZ72" s="732"/>
      <c r="CA72" s="732"/>
      <c r="CB72" s="732"/>
      <c r="CC72" s="732"/>
      <c r="CD72" s="732"/>
      <c r="CE72" s="732"/>
      <c r="CF72" s="732"/>
      <c r="CG72" s="732"/>
      <c r="CH72" s="732"/>
      <c r="CI72" s="732"/>
      <c r="CJ72" s="732"/>
      <c r="CK72" s="732"/>
      <c r="CL72" s="732"/>
      <c r="CM72" s="732"/>
      <c r="CN72" s="732"/>
      <c r="CO72" s="732"/>
      <c r="CP72" s="732"/>
      <c r="CQ72" s="732"/>
      <c r="CR72" s="732"/>
      <c r="CS72" s="732"/>
      <c r="CT72" s="732"/>
      <c r="CU72" s="732"/>
      <c r="CV72" s="732"/>
      <c r="CW72" s="732"/>
      <c r="CX72" s="732"/>
      <c r="CY72" s="732"/>
      <c r="CZ72" s="732"/>
      <c r="DA72" s="732"/>
      <c r="DB72" s="732"/>
      <c r="DC72" s="732"/>
      <c r="DD72" s="732"/>
      <c r="DE72" s="732"/>
      <c r="DF72" s="732"/>
      <c r="DG72" s="732"/>
      <c r="DH72" s="732"/>
      <c r="DI72" s="732"/>
      <c r="DJ72" s="732"/>
      <c r="DK72" s="732"/>
      <c r="DL72" s="732"/>
      <c r="DM72" s="732"/>
      <c r="DN72" s="732"/>
      <c r="DO72" s="732"/>
      <c r="DP72" s="732"/>
      <c r="DQ72" s="732"/>
      <c r="DR72" s="732"/>
      <c r="DS72" s="732"/>
      <c r="DT72" s="732"/>
      <c r="DU72" s="732"/>
      <c r="DV72" s="732"/>
      <c r="DW72" s="732"/>
      <c r="DX72" s="732"/>
      <c r="DY72" s="732"/>
      <c r="DZ72" s="732"/>
      <c r="EA72" s="732"/>
      <c r="EB72" s="732"/>
      <c r="EC72" s="732"/>
      <c r="ED72" s="732"/>
      <c r="EE72" s="732"/>
      <c r="EF72" s="732"/>
      <c r="EG72" s="732"/>
      <c r="EH72" s="732"/>
      <c r="EI72" s="732"/>
      <c r="EJ72" s="732"/>
      <c r="EK72" s="732"/>
      <c r="EL72" s="732"/>
      <c r="EM72" s="732"/>
      <c r="EN72" s="732"/>
      <c r="EO72" s="732"/>
      <c r="EP72" s="732"/>
      <c r="EQ72" s="732"/>
      <c r="ER72" s="732"/>
      <c r="ES72" s="732"/>
      <c r="ET72" s="732"/>
      <c r="EU72" s="732"/>
      <c r="EV72" s="732"/>
      <c r="EW72" s="732"/>
      <c r="EX72" s="732"/>
      <c r="EY72" s="732"/>
      <c r="EZ72" s="732"/>
      <c r="FA72" s="732"/>
      <c r="FB72" s="732"/>
      <c r="FC72" s="732"/>
      <c r="FD72" s="732"/>
      <c r="FE72" s="732"/>
      <c r="FF72" s="732"/>
      <c r="FG72" s="732"/>
      <c r="FH72" s="732"/>
      <c r="FI72" s="732"/>
      <c r="FJ72" s="732"/>
      <c r="FK72" s="732"/>
      <c r="FL72" s="732"/>
      <c r="FM72" s="732"/>
      <c r="FN72" s="732"/>
      <c r="FO72" s="732"/>
      <c r="FP72" s="732"/>
      <c r="FQ72" s="732"/>
      <c r="FR72" s="732"/>
      <c r="FS72" s="732"/>
      <c r="FT72" s="732"/>
      <c r="FU72" s="732"/>
      <c r="FV72" s="732"/>
      <c r="FW72" s="732"/>
      <c r="FX72" s="732"/>
      <c r="FY72" s="732"/>
      <c r="FZ72" s="732"/>
      <c r="GA72" s="732"/>
      <c r="GB72" s="732"/>
      <c r="GC72" s="732"/>
      <c r="GD72" s="732"/>
      <c r="GE72" s="732"/>
      <c r="GF72" s="732"/>
      <c r="GG72" s="732"/>
      <c r="GH72" s="732"/>
      <c r="GI72" s="732"/>
      <c r="GJ72" s="732"/>
      <c r="GK72" s="732"/>
      <c r="GL72" s="732"/>
      <c r="GM72" s="732"/>
      <c r="GN72" s="732"/>
      <c r="GO72" s="732"/>
      <c r="GP72" s="732"/>
      <c r="GQ72" s="732"/>
      <c r="GR72" s="732"/>
      <c r="GS72" s="732"/>
      <c r="GT72" s="732"/>
      <c r="GU72" s="732"/>
      <c r="GV72" s="732"/>
      <c r="GW72" s="732"/>
      <c r="GX72" s="732"/>
      <c r="GY72" s="732"/>
      <c r="GZ72" s="732"/>
      <c r="HA72" s="732"/>
      <c r="HB72" s="732"/>
      <c r="HC72" s="732"/>
      <c r="HD72" s="732"/>
      <c r="HE72" s="732"/>
      <c r="HF72" s="732"/>
      <c r="HG72" s="732"/>
      <c r="HH72" s="732"/>
      <c r="HI72" s="732"/>
      <c r="HJ72" s="732"/>
      <c r="HK72" s="732"/>
      <c r="HL72" s="732"/>
      <c r="HM72" s="732"/>
      <c r="HN72" s="732"/>
      <c r="HO72" s="732"/>
      <c r="HP72" s="732"/>
      <c r="HQ72" s="732"/>
      <c r="HR72" s="732"/>
      <c r="HS72" s="732"/>
      <c r="HT72" s="732"/>
      <c r="HU72" s="732"/>
      <c r="HV72" s="732"/>
      <c r="HW72" s="732"/>
      <c r="HX72" s="732"/>
      <c r="HY72" s="732"/>
      <c r="HZ72" s="732"/>
      <c r="IA72" s="732"/>
      <c r="IB72" s="732"/>
      <c r="IC72" s="732"/>
      <c r="ID72" s="732"/>
      <c r="IE72" s="732"/>
      <c r="IF72" s="732"/>
      <c r="IG72" s="732"/>
      <c r="IH72" s="732"/>
      <c r="II72" s="732"/>
      <c r="IJ72" s="732"/>
      <c r="IK72" s="732"/>
      <c r="IL72" s="732"/>
      <c r="IM72" s="732"/>
      <c r="IN72" s="732"/>
      <c r="IO72" s="732"/>
      <c r="IP72" s="732"/>
      <c r="IQ72" s="732"/>
      <c r="IR72" s="732"/>
      <c r="IS72" s="732"/>
    </row>
    <row r="73" s="563" customFormat="1" ht="15" spans="1:13">
      <c r="A73" s="719">
        <v>92916</v>
      </c>
      <c r="B73" s="657" t="s">
        <v>122</v>
      </c>
      <c r="C73" s="698" t="s">
        <v>123</v>
      </c>
      <c r="D73" s="716" t="s">
        <v>69</v>
      </c>
      <c r="E73" s="720">
        <f>'PB VI - Memorial'!B98</f>
        <v>101.64</v>
      </c>
      <c r="F73" s="694">
        <v>11.11</v>
      </c>
      <c r="G73" s="694">
        <f t="shared" si="4"/>
        <v>1129.22</v>
      </c>
      <c r="H73" s="711"/>
      <c r="I73" s="711"/>
      <c r="J73" s="278"/>
      <c r="K73" s="278"/>
      <c r="L73" s="278"/>
      <c r="M73" s="695">
        <f t="shared" si="0"/>
        <v>997182.95</v>
      </c>
    </row>
    <row r="74" s="563" customFormat="1" ht="15" spans="1:253">
      <c r="A74" s="719" t="s">
        <v>124</v>
      </c>
      <c r="B74" s="657" t="s">
        <v>125</v>
      </c>
      <c r="C74" s="698" t="s">
        <v>126</v>
      </c>
      <c r="D74" s="716" t="s">
        <v>69</v>
      </c>
      <c r="E74" s="720">
        <f>'PB VI - Memorial'!C98</f>
        <v>218.09</v>
      </c>
      <c r="F74" s="694">
        <v>10.54</v>
      </c>
      <c r="G74" s="694">
        <f t="shared" si="4"/>
        <v>2298.67</v>
      </c>
      <c r="H74" s="711"/>
      <c r="I74" s="711"/>
      <c r="J74" s="711"/>
      <c r="K74" s="711"/>
      <c r="L74" s="711"/>
      <c r="M74" s="695">
        <f t="shared" si="0"/>
        <v>997182.95</v>
      </c>
      <c r="N74" s="729"/>
      <c r="O74" s="729"/>
      <c r="P74" s="729"/>
      <c r="Q74" s="729"/>
      <c r="R74" s="729"/>
      <c r="S74" s="729"/>
      <c r="T74" s="729"/>
      <c r="U74" s="729"/>
      <c r="V74" s="729"/>
      <c r="W74" s="729"/>
      <c r="X74" s="729"/>
      <c r="Y74" s="729"/>
      <c r="Z74" s="729"/>
      <c r="AA74" s="729"/>
      <c r="AB74" s="729"/>
      <c r="AC74" s="729"/>
      <c r="AD74" s="729"/>
      <c r="AE74" s="729"/>
      <c r="AF74" s="729"/>
      <c r="AG74" s="729"/>
      <c r="AH74" s="729"/>
      <c r="AI74" s="729"/>
      <c r="AJ74" s="729"/>
      <c r="AK74" s="729"/>
      <c r="AL74" s="729"/>
      <c r="AM74" s="729"/>
      <c r="AN74" s="729"/>
      <c r="AO74" s="729"/>
      <c r="AP74" s="729"/>
      <c r="AQ74" s="729"/>
      <c r="AR74" s="729"/>
      <c r="AS74" s="729"/>
      <c r="AT74" s="729"/>
      <c r="AU74" s="729"/>
      <c r="AV74" s="729"/>
      <c r="AW74" s="729"/>
      <c r="AX74" s="729"/>
      <c r="AY74" s="729"/>
      <c r="AZ74" s="729"/>
      <c r="BA74" s="729"/>
      <c r="BB74" s="729"/>
      <c r="BC74" s="729"/>
      <c r="BD74" s="729"/>
      <c r="BE74" s="729"/>
      <c r="BF74" s="729"/>
      <c r="BG74" s="729"/>
      <c r="BH74" s="729"/>
      <c r="BI74" s="729"/>
      <c r="BJ74" s="729"/>
      <c r="BK74" s="729"/>
      <c r="BL74" s="729"/>
      <c r="BM74" s="729"/>
      <c r="BN74" s="729"/>
      <c r="BO74" s="729"/>
      <c r="BP74" s="729"/>
      <c r="BQ74" s="729"/>
      <c r="BR74" s="729"/>
      <c r="BS74" s="729"/>
      <c r="BT74" s="729"/>
      <c r="BU74" s="729"/>
      <c r="BV74" s="729"/>
      <c r="BW74" s="732"/>
      <c r="BX74" s="732"/>
      <c r="BY74" s="732"/>
      <c r="BZ74" s="732"/>
      <c r="CA74" s="732"/>
      <c r="CB74" s="732"/>
      <c r="CC74" s="732"/>
      <c r="CD74" s="732"/>
      <c r="CE74" s="732"/>
      <c r="CF74" s="732"/>
      <c r="CG74" s="732"/>
      <c r="CH74" s="732"/>
      <c r="CI74" s="732"/>
      <c r="CJ74" s="732"/>
      <c r="CK74" s="732"/>
      <c r="CL74" s="732"/>
      <c r="CM74" s="732"/>
      <c r="CN74" s="732"/>
      <c r="CO74" s="732"/>
      <c r="CP74" s="732"/>
      <c r="CQ74" s="732"/>
      <c r="CR74" s="732"/>
      <c r="CS74" s="732"/>
      <c r="CT74" s="732"/>
      <c r="CU74" s="732"/>
      <c r="CV74" s="732"/>
      <c r="CW74" s="732"/>
      <c r="CX74" s="732"/>
      <c r="CY74" s="732"/>
      <c r="CZ74" s="732"/>
      <c r="DA74" s="732"/>
      <c r="DB74" s="732"/>
      <c r="DC74" s="732"/>
      <c r="DD74" s="732"/>
      <c r="DE74" s="732"/>
      <c r="DF74" s="732"/>
      <c r="DG74" s="732"/>
      <c r="DH74" s="732"/>
      <c r="DI74" s="732"/>
      <c r="DJ74" s="732"/>
      <c r="DK74" s="732"/>
      <c r="DL74" s="732"/>
      <c r="DM74" s="732"/>
      <c r="DN74" s="732"/>
      <c r="DO74" s="732"/>
      <c r="DP74" s="732"/>
      <c r="DQ74" s="732"/>
      <c r="DR74" s="732"/>
      <c r="DS74" s="732"/>
      <c r="DT74" s="732"/>
      <c r="DU74" s="732"/>
      <c r="DV74" s="732"/>
      <c r="DW74" s="732"/>
      <c r="DX74" s="732"/>
      <c r="DY74" s="732"/>
      <c r="DZ74" s="732"/>
      <c r="EA74" s="732"/>
      <c r="EB74" s="732"/>
      <c r="EC74" s="732"/>
      <c r="ED74" s="732"/>
      <c r="EE74" s="732"/>
      <c r="EF74" s="732"/>
      <c r="EG74" s="732"/>
      <c r="EH74" s="732"/>
      <c r="EI74" s="732"/>
      <c r="EJ74" s="732"/>
      <c r="EK74" s="732"/>
      <c r="EL74" s="732"/>
      <c r="EM74" s="732"/>
      <c r="EN74" s="732"/>
      <c r="EO74" s="732"/>
      <c r="EP74" s="732"/>
      <c r="EQ74" s="732"/>
      <c r="ER74" s="732"/>
      <c r="ES74" s="732"/>
      <c r="ET74" s="732"/>
      <c r="EU74" s="732"/>
      <c r="EV74" s="732"/>
      <c r="EW74" s="732"/>
      <c r="EX74" s="732"/>
      <c r="EY74" s="732"/>
      <c r="EZ74" s="732"/>
      <c r="FA74" s="732"/>
      <c r="FB74" s="732"/>
      <c r="FC74" s="732"/>
      <c r="FD74" s="732"/>
      <c r="FE74" s="732"/>
      <c r="FF74" s="732"/>
      <c r="FG74" s="732"/>
      <c r="FH74" s="732"/>
      <c r="FI74" s="732"/>
      <c r="FJ74" s="732"/>
      <c r="FK74" s="732"/>
      <c r="FL74" s="732"/>
      <c r="FM74" s="732"/>
      <c r="FN74" s="732"/>
      <c r="FO74" s="732"/>
      <c r="FP74" s="732"/>
      <c r="FQ74" s="732"/>
      <c r="FR74" s="732"/>
      <c r="FS74" s="732"/>
      <c r="FT74" s="732"/>
      <c r="FU74" s="732"/>
      <c r="FV74" s="732"/>
      <c r="FW74" s="732"/>
      <c r="FX74" s="732"/>
      <c r="FY74" s="732"/>
      <c r="FZ74" s="732"/>
      <c r="GA74" s="732"/>
      <c r="GB74" s="732"/>
      <c r="GC74" s="732"/>
      <c r="GD74" s="732"/>
      <c r="GE74" s="732"/>
      <c r="GF74" s="732"/>
      <c r="GG74" s="732"/>
      <c r="GH74" s="732"/>
      <c r="GI74" s="732"/>
      <c r="GJ74" s="732"/>
      <c r="GK74" s="732"/>
      <c r="GL74" s="732"/>
      <c r="GM74" s="732"/>
      <c r="GN74" s="732"/>
      <c r="GO74" s="732"/>
      <c r="GP74" s="732"/>
      <c r="GQ74" s="732"/>
      <c r="GR74" s="732"/>
      <c r="GS74" s="732"/>
      <c r="GT74" s="732"/>
      <c r="GU74" s="732"/>
      <c r="GV74" s="732"/>
      <c r="GW74" s="732"/>
      <c r="GX74" s="732"/>
      <c r="GY74" s="732"/>
      <c r="GZ74" s="732"/>
      <c r="HA74" s="732"/>
      <c r="HB74" s="732"/>
      <c r="HC74" s="732"/>
      <c r="HD74" s="732"/>
      <c r="HE74" s="732"/>
      <c r="HF74" s="732"/>
      <c r="HG74" s="732"/>
      <c r="HH74" s="732"/>
      <c r="HI74" s="732"/>
      <c r="HJ74" s="732"/>
      <c r="HK74" s="732"/>
      <c r="HL74" s="732"/>
      <c r="HM74" s="732"/>
      <c r="HN74" s="732"/>
      <c r="HO74" s="732"/>
      <c r="HP74" s="732"/>
      <c r="HQ74" s="732"/>
      <c r="HR74" s="732"/>
      <c r="HS74" s="732"/>
      <c r="HT74" s="732"/>
      <c r="HU74" s="732"/>
      <c r="HV74" s="732"/>
      <c r="HW74" s="732"/>
      <c r="HX74" s="732"/>
      <c r="HY74" s="732"/>
      <c r="HZ74" s="732"/>
      <c r="IA74" s="732"/>
      <c r="IB74" s="732"/>
      <c r="IC74" s="732"/>
      <c r="ID74" s="732"/>
      <c r="IE74" s="732"/>
      <c r="IF74" s="732"/>
      <c r="IG74" s="732"/>
      <c r="IH74" s="732"/>
      <c r="II74" s="732"/>
      <c r="IJ74" s="732"/>
      <c r="IK74" s="732"/>
      <c r="IL74" s="732"/>
      <c r="IM74" s="732"/>
      <c r="IN74" s="732"/>
      <c r="IO74" s="732"/>
      <c r="IP74" s="732"/>
      <c r="IQ74" s="732"/>
      <c r="IR74" s="732"/>
      <c r="IS74" s="732"/>
    </row>
    <row r="75" s="563" customFormat="1" ht="15" spans="1:253">
      <c r="A75" s="719" t="s">
        <v>127</v>
      </c>
      <c r="B75" s="657" t="s">
        <v>128</v>
      </c>
      <c r="C75" s="698" t="s">
        <v>129</v>
      </c>
      <c r="D75" s="716" t="s">
        <v>69</v>
      </c>
      <c r="E75" s="720">
        <f>'PB VI - Memorial'!D98</f>
        <v>616.73</v>
      </c>
      <c r="F75" s="694">
        <v>8.52</v>
      </c>
      <c r="G75" s="694">
        <f t="shared" si="4"/>
        <v>5254.54</v>
      </c>
      <c r="H75" s="711"/>
      <c r="I75" s="711"/>
      <c r="J75" s="711"/>
      <c r="K75" s="711"/>
      <c r="L75" s="711"/>
      <c r="M75" s="695">
        <f t="shared" si="0"/>
        <v>997182.95</v>
      </c>
      <c r="N75" s="729"/>
      <c r="O75" s="729"/>
      <c r="P75" s="729"/>
      <c r="Q75" s="729"/>
      <c r="R75" s="729"/>
      <c r="S75" s="729"/>
      <c r="T75" s="729"/>
      <c r="U75" s="729"/>
      <c r="V75" s="729"/>
      <c r="W75" s="729"/>
      <c r="X75" s="729"/>
      <c r="Y75" s="729"/>
      <c r="Z75" s="729"/>
      <c r="AA75" s="729"/>
      <c r="AB75" s="729"/>
      <c r="AC75" s="729"/>
      <c r="AD75" s="729"/>
      <c r="AE75" s="729"/>
      <c r="AF75" s="729"/>
      <c r="AG75" s="729"/>
      <c r="AH75" s="729"/>
      <c r="AI75" s="729"/>
      <c r="AJ75" s="729"/>
      <c r="AK75" s="729"/>
      <c r="AL75" s="729"/>
      <c r="AM75" s="729"/>
      <c r="AN75" s="729"/>
      <c r="AO75" s="729"/>
      <c r="AP75" s="729"/>
      <c r="AQ75" s="729"/>
      <c r="AR75" s="729"/>
      <c r="AS75" s="729"/>
      <c r="AT75" s="729"/>
      <c r="AU75" s="729"/>
      <c r="AV75" s="729"/>
      <c r="AW75" s="729"/>
      <c r="AX75" s="729"/>
      <c r="AY75" s="729"/>
      <c r="AZ75" s="729"/>
      <c r="BA75" s="729"/>
      <c r="BB75" s="729"/>
      <c r="BC75" s="729"/>
      <c r="BD75" s="729"/>
      <c r="BE75" s="729"/>
      <c r="BF75" s="729"/>
      <c r="BG75" s="729"/>
      <c r="BH75" s="729"/>
      <c r="BI75" s="729"/>
      <c r="BJ75" s="729"/>
      <c r="BK75" s="729"/>
      <c r="BL75" s="729"/>
      <c r="BM75" s="729"/>
      <c r="BN75" s="729"/>
      <c r="BO75" s="729"/>
      <c r="BP75" s="729"/>
      <c r="BQ75" s="729"/>
      <c r="BR75" s="729"/>
      <c r="BS75" s="729"/>
      <c r="BT75" s="729"/>
      <c r="BU75" s="729"/>
      <c r="BV75" s="729"/>
      <c r="BW75" s="732"/>
      <c r="BX75" s="732"/>
      <c r="BY75" s="732"/>
      <c r="BZ75" s="732"/>
      <c r="CA75" s="732"/>
      <c r="CB75" s="732"/>
      <c r="CC75" s="732"/>
      <c r="CD75" s="732"/>
      <c r="CE75" s="732"/>
      <c r="CF75" s="732"/>
      <c r="CG75" s="732"/>
      <c r="CH75" s="732"/>
      <c r="CI75" s="732"/>
      <c r="CJ75" s="732"/>
      <c r="CK75" s="732"/>
      <c r="CL75" s="732"/>
      <c r="CM75" s="732"/>
      <c r="CN75" s="732"/>
      <c r="CO75" s="732"/>
      <c r="CP75" s="732"/>
      <c r="CQ75" s="732"/>
      <c r="CR75" s="732"/>
      <c r="CS75" s="732"/>
      <c r="CT75" s="732"/>
      <c r="CU75" s="732"/>
      <c r="CV75" s="732"/>
      <c r="CW75" s="732"/>
      <c r="CX75" s="732"/>
      <c r="CY75" s="732"/>
      <c r="CZ75" s="732"/>
      <c r="DA75" s="732"/>
      <c r="DB75" s="732"/>
      <c r="DC75" s="732"/>
      <c r="DD75" s="732"/>
      <c r="DE75" s="732"/>
      <c r="DF75" s="732"/>
      <c r="DG75" s="732"/>
      <c r="DH75" s="732"/>
      <c r="DI75" s="732"/>
      <c r="DJ75" s="732"/>
      <c r="DK75" s="732"/>
      <c r="DL75" s="732"/>
      <c r="DM75" s="732"/>
      <c r="DN75" s="732"/>
      <c r="DO75" s="732"/>
      <c r="DP75" s="732"/>
      <c r="DQ75" s="732"/>
      <c r="DR75" s="732"/>
      <c r="DS75" s="732"/>
      <c r="DT75" s="732"/>
      <c r="DU75" s="732"/>
      <c r="DV75" s="732"/>
      <c r="DW75" s="732"/>
      <c r="DX75" s="732"/>
      <c r="DY75" s="732"/>
      <c r="DZ75" s="732"/>
      <c r="EA75" s="732"/>
      <c r="EB75" s="732"/>
      <c r="EC75" s="732"/>
      <c r="ED75" s="732"/>
      <c r="EE75" s="732"/>
      <c r="EF75" s="732"/>
      <c r="EG75" s="732"/>
      <c r="EH75" s="732"/>
      <c r="EI75" s="732"/>
      <c r="EJ75" s="732"/>
      <c r="EK75" s="732"/>
      <c r="EL75" s="732"/>
      <c r="EM75" s="732"/>
      <c r="EN75" s="732"/>
      <c r="EO75" s="732"/>
      <c r="EP75" s="732"/>
      <c r="EQ75" s="732"/>
      <c r="ER75" s="732"/>
      <c r="ES75" s="732"/>
      <c r="ET75" s="732"/>
      <c r="EU75" s="732"/>
      <c r="EV75" s="732"/>
      <c r="EW75" s="732"/>
      <c r="EX75" s="732"/>
      <c r="EY75" s="732"/>
      <c r="EZ75" s="732"/>
      <c r="FA75" s="732"/>
      <c r="FB75" s="732"/>
      <c r="FC75" s="732"/>
      <c r="FD75" s="732"/>
      <c r="FE75" s="732"/>
      <c r="FF75" s="732"/>
      <c r="FG75" s="732"/>
      <c r="FH75" s="732"/>
      <c r="FI75" s="732"/>
      <c r="FJ75" s="732"/>
      <c r="FK75" s="732"/>
      <c r="FL75" s="732"/>
      <c r="FM75" s="732"/>
      <c r="FN75" s="732"/>
      <c r="FO75" s="732"/>
      <c r="FP75" s="732"/>
      <c r="FQ75" s="732"/>
      <c r="FR75" s="732"/>
      <c r="FS75" s="732"/>
      <c r="FT75" s="732"/>
      <c r="FU75" s="732"/>
      <c r="FV75" s="732"/>
      <c r="FW75" s="732"/>
      <c r="FX75" s="732"/>
      <c r="FY75" s="732"/>
      <c r="FZ75" s="732"/>
      <c r="GA75" s="732"/>
      <c r="GB75" s="732"/>
      <c r="GC75" s="732"/>
      <c r="GD75" s="732"/>
      <c r="GE75" s="732"/>
      <c r="GF75" s="732"/>
      <c r="GG75" s="732"/>
      <c r="GH75" s="732"/>
      <c r="GI75" s="732"/>
      <c r="GJ75" s="732"/>
      <c r="GK75" s="732"/>
      <c r="GL75" s="732"/>
      <c r="GM75" s="732"/>
      <c r="GN75" s="732"/>
      <c r="GO75" s="732"/>
      <c r="GP75" s="732"/>
      <c r="GQ75" s="732"/>
      <c r="GR75" s="732"/>
      <c r="GS75" s="732"/>
      <c r="GT75" s="732"/>
      <c r="GU75" s="732"/>
      <c r="GV75" s="732"/>
      <c r="GW75" s="732"/>
      <c r="GX75" s="732"/>
      <c r="GY75" s="732"/>
      <c r="GZ75" s="732"/>
      <c r="HA75" s="732"/>
      <c r="HB75" s="732"/>
      <c r="HC75" s="732"/>
      <c r="HD75" s="732"/>
      <c r="HE75" s="732"/>
      <c r="HF75" s="732"/>
      <c r="HG75" s="732"/>
      <c r="HH75" s="732"/>
      <c r="HI75" s="732"/>
      <c r="HJ75" s="732"/>
      <c r="HK75" s="732"/>
      <c r="HL75" s="732"/>
      <c r="HM75" s="732"/>
      <c r="HN75" s="732"/>
      <c r="HO75" s="732"/>
      <c r="HP75" s="732"/>
      <c r="HQ75" s="732"/>
      <c r="HR75" s="732"/>
      <c r="HS75" s="732"/>
      <c r="HT75" s="732"/>
      <c r="HU75" s="732"/>
      <c r="HV75" s="732"/>
      <c r="HW75" s="732"/>
      <c r="HX75" s="732"/>
      <c r="HY75" s="732"/>
      <c r="HZ75" s="732"/>
      <c r="IA75" s="732"/>
      <c r="IB75" s="732"/>
      <c r="IC75" s="732"/>
      <c r="ID75" s="732"/>
      <c r="IE75" s="732"/>
      <c r="IF75" s="732"/>
      <c r="IG75" s="732"/>
      <c r="IH75" s="732"/>
      <c r="II75" s="732"/>
      <c r="IJ75" s="732"/>
      <c r="IK75" s="732"/>
      <c r="IL75" s="732"/>
      <c r="IM75" s="732"/>
      <c r="IN75" s="732"/>
      <c r="IO75" s="732"/>
      <c r="IP75" s="732"/>
      <c r="IQ75" s="732"/>
      <c r="IR75" s="732"/>
      <c r="IS75" s="732"/>
    </row>
    <row r="76" s="563" customFormat="1" ht="15" spans="1:253">
      <c r="A76" s="719" t="s">
        <v>130</v>
      </c>
      <c r="B76" s="657" t="s">
        <v>131</v>
      </c>
      <c r="C76" s="698" t="s">
        <v>132</v>
      </c>
      <c r="D76" s="716" t="s">
        <v>69</v>
      </c>
      <c r="E76" s="720">
        <f>'PB VI - Memorial'!E98</f>
        <v>89.91</v>
      </c>
      <c r="F76" s="694">
        <v>7.02</v>
      </c>
      <c r="G76" s="694">
        <f t="shared" si="4"/>
        <v>631.17</v>
      </c>
      <c r="H76" s="711"/>
      <c r="I76" s="711"/>
      <c r="J76" s="711"/>
      <c r="K76" s="711"/>
      <c r="L76" s="711"/>
      <c r="M76" s="695">
        <f t="shared" si="0"/>
        <v>997182.95</v>
      </c>
      <c r="N76" s="729"/>
      <c r="O76" s="729"/>
      <c r="P76" s="729"/>
      <c r="Q76" s="729"/>
      <c r="R76" s="729"/>
      <c r="S76" s="729"/>
      <c r="T76" s="729"/>
      <c r="U76" s="729"/>
      <c r="V76" s="729"/>
      <c r="W76" s="729"/>
      <c r="X76" s="729"/>
      <c r="Y76" s="729"/>
      <c r="Z76" s="729"/>
      <c r="AA76" s="729"/>
      <c r="AB76" s="729"/>
      <c r="AC76" s="729"/>
      <c r="AD76" s="729"/>
      <c r="AE76" s="729"/>
      <c r="AF76" s="729"/>
      <c r="AG76" s="729"/>
      <c r="AH76" s="729"/>
      <c r="AI76" s="729"/>
      <c r="AJ76" s="729"/>
      <c r="AK76" s="729"/>
      <c r="AL76" s="729"/>
      <c r="AM76" s="729"/>
      <c r="AN76" s="729"/>
      <c r="AO76" s="729"/>
      <c r="AP76" s="729"/>
      <c r="AQ76" s="729"/>
      <c r="AR76" s="729"/>
      <c r="AS76" s="729"/>
      <c r="AT76" s="729"/>
      <c r="AU76" s="729"/>
      <c r="AV76" s="729"/>
      <c r="AW76" s="729"/>
      <c r="AX76" s="729"/>
      <c r="AY76" s="729"/>
      <c r="AZ76" s="729"/>
      <c r="BA76" s="729"/>
      <c r="BB76" s="729"/>
      <c r="BC76" s="729"/>
      <c r="BD76" s="729"/>
      <c r="BE76" s="729"/>
      <c r="BF76" s="729"/>
      <c r="BG76" s="729"/>
      <c r="BH76" s="729"/>
      <c r="BI76" s="729"/>
      <c r="BJ76" s="729"/>
      <c r="BK76" s="729"/>
      <c r="BL76" s="729"/>
      <c r="BM76" s="729"/>
      <c r="BN76" s="729"/>
      <c r="BO76" s="729"/>
      <c r="BP76" s="729"/>
      <c r="BQ76" s="729"/>
      <c r="BR76" s="729"/>
      <c r="BS76" s="729"/>
      <c r="BT76" s="729"/>
      <c r="BU76" s="729"/>
      <c r="BV76" s="729"/>
      <c r="BW76" s="732"/>
      <c r="BX76" s="732"/>
      <c r="BY76" s="732"/>
      <c r="BZ76" s="732"/>
      <c r="CA76" s="732"/>
      <c r="CB76" s="732"/>
      <c r="CC76" s="732"/>
      <c r="CD76" s="732"/>
      <c r="CE76" s="732"/>
      <c r="CF76" s="732"/>
      <c r="CG76" s="732"/>
      <c r="CH76" s="732"/>
      <c r="CI76" s="732"/>
      <c r="CJ76" s="732"/>
      <c r="CK76" s="732"/>
      <c r="CL76" s="732"/>
      <c r="CM76" s="732"/>
      <c r="CN76" s="732"/>
      <c r="CO76" s="732"/>
      <c r="CP76" s="732"/>
      <c r="CQ76" s="732"/>
      <c r="CR76" s="732"/>
      <c r="CS76" s="732"/>
      <c r="CT76" s="732"/>
      <c r="CU76" s="732"/>
      <c r="CV76" s="732"/>
      <c r="CW76" s="732"/>
      <c r="CX76" s="732"/>
      <c r="CY76" s="732"/>
      <c r="CZ76" s="732"/>
      <c r="DA76" s="732"/>
      <c r="DB76" s="732"/>
      <c r="DC76" s="732"/>
      <c r="DD76" s="732"/>
      <c r="DE76" s="732"/>
      <c r="DF76" s="732"/>
      <c r="DG76" s="732"/>
      <c r="DH76" s="732"/>
      <c r="DI76" s="732"/>
      <c r="DJ76" s="732"/>
      <c r="DK76" s="732"/>
      <c r="DL76" s="732"/>
      <c r="DM76" s="732"/>
      <c r="DN76" s="732"/>
      <c r="DO76" s="732"/>
      <c r="DP76" s="732"/>
      <c r="DQ76" s="732"/>
      <c r="DR76" s="732"/>
      <c r="DS76" s="732"/>
      <c r="DT76" s="732"/>
      <c r="DU76" s="732"/>
      <c r="DV76" s="732"/>
      <c r="DW76" s="732"/>
      <c r="DX76" s="732"/>
      <c r="DY76" s="732"/>
      <c r="DZ76" s="732"/>
      <c r="EA76" s="732"/>
      <c r="EB76" s="732"/>
      <c r="EC76" s="732"/>
      <c r="ED76" s="732"/>
      <c r="EE76" s="732"/>
      <c r="EF76" s="732"/>
      <c r="EG76" s="732"/>
      <c r="EH76" s="732"/>
      <c r="EI76" s="732"/>
      <c r="EJ76" s="732"/>
      <c r="EK76" s="732"/>
      <c r="EL76" s="732"/>
      <c r="EM76" s="732"/>
      <c r="EN76" s="732"/>
      <c r="EO76" s="732"/>
      <c r="EP76" s="732"/>
      <c r="EQ76" s="732"/>
      <c r="ER76" s="732"/>
      <c r="ES76" s="732"/>
      <c r="ET76" s="732"/>
      <c r="EU76" s="732"/>
      <c r="EV76" s="732"/>
      <c r="EW76" s="732"/>
      <c r="EX76" s="732"/>
      <c r="EY76" s="732"/>
      <c r="EZ76" s="732"/>
      <c r="FA76" s="732"/>
      <c r="FB76" s="732"/>
      <c r="FC76" s="732"/>
      <c r="FD76" s="732"/>
      <c r="FE76" s="732"/>
      <c r="FF76" s="732"/>
      <c r="FG76" s="732"/>
      <c r="FH76" s="732"/>
      <c r="FI76" s="732"/>
      <c r="FJ76" s="732"/>
      <c r="FK76" s="732"/>
      <c r="FL76" s="732"/>
      <c r="FM76" s="732"/>
      <c r="FN76" s="732"/>
      <c r="FO76" s="732"/>
      <c r="FP76" s="732"/>
      <c r="FQ76" s="732"/>
      <c r="FR76" s="732"/>
      <c r="FS76" s="732"/>
      <c r="FT76" s="732"/>
      <c r="FU76" s="732"/>
      <c r="FV76" s="732"/>
      <c r="FW76" s="732"/>
      <c r="FX76" s="732"/>
      <c r="FY76" s="732"/>
      <c r="FZ76" s="732"/>
      <c r="GA76" s="732"/>
      <c r="GB76" s="732"/>
      <c r="GC76" s="732"/>
      <c r="GD76" s="732"/>
      <c r="GE76" s="732"/>
      <c r="GF76" s="732"/>
      <c r="GG76" s="732"/>
      <c r="GH76" s="732"/>
      <c r="GI76" s="732"/>
      <c r="GJ76" s="732"/>
      <c r="GK76" s="732"/>
      <c r="GL76" s="732"/>
      <c r="GM76" s="732"/>
      <c r="GN76" s="732"/>
      <c r="GO76" s="732"/>
      <c r="GP76" s="732"/>
      <c r="GQ76" s="732"/>
      <c r="GR76" s="732"/>
      <c r="GS76" s="732"/>
      <c r="GT76" s="732"/>
      <c r="GU76" s="732"/>
      <c r="GV76" s="732"/>
      <c r="GW76" s="732"/>
      <c r="GX76" s="732"/>
      <c r="GY76" s="732"/>
      <c r="GZ76" s="732"/>
      <c r="HA76" s="732"/>
      <c r="HB76" s="732"/>
      <c r="HC76" s="732"/>
      <c r="HD76" s="732"/>
      <c r="HE76" s="732"/>
      <c r="HF76" s="732"/>
      <c r="HG76" s="732"/>
      <c r="HH76" s="732"/>
      <c r="HI76" s="732"/>
      <c r="HJ76" s="732"/>
      <c r="HK76" s="732"/>
      <c r="HL76" s="732"/>
      <c r="HM76" s="732"/>
      <c r="HN76" s="732"/>
      <c r="HO76" s="732"/>
      <c r="HP76" s="732"/>
      <c r="HQ76" s="732"/>
      <c r="HR76" s="732"/>
      <c r="HS76" s="732"/>
      <c r="HT76" s="732"/>
      <c r="HU76" s="732"/>
      <c r="HV76" s="732"/>
      <c r="HW76" s="732"/>
      <c r="HX76" s="732"/>
      <c r="HY76" s="732"/>
      <c r="HZ76" s="732"/>
      <c r="IA76" s="732"/>
      <c r="IB76" s="732"/>
      <c r="IC76" s="732"/>
      <c r="ID76" s="732"/>
      <c r="IE76" s="732"/>
      <c r="IF76" s="732"/>
      <c r="IG76" s="732"/>
      <c r="IH76" s="732"/>
      <c r="II76" s="732"/>
      <c r="IJ76" s="732"/>
      <c r="IK76" s="732"/>
      <c r="IL76" s="732"/>
      <c r="IM76" s="732"/>
      <c r="IN76" s="732"/>
      <c r="IO76" s="732"/>
      <c r="IP76" s="732"/>
      <c r="IQ76" s="732"/>
      <c r="IR76" s="732"/>
      <c r="IS76" s="732"/>
    </row>
    <row r="77" s="563" customFormat="1" ht="15" spans="1:253">
      <c r="A77" s="719" t="s">
        <v>133</v>
      </c>
      <c r="B77" s="657" t="s">
        <v>134</v>
      </c>
      <c r="C77" s="698" t="s">
        <v>135</v>
      </c>
      <c r="D77" s="716" t="s">
        <v>69</v>
      </c>
      <c r="E77" s="720">
        <f>'PB VI - Memorial'!G98</f>
        <v>91.36</v>
      </c>
      <c r="F77" s="694">
        <v>12.23</v>
      </c>
      <c r="G77" s="694">
        <f t="shared" si="4"/>
        <v>1117.33</v>
      </c>
      <c r="H77" s="711"/>
      <c r="I77" s="711"/>
      <c r="J77" s="711"/>
      <c r="K77" s="711"/>
      <c r="L77" s="711"/>
      <c r="M77" s="695">
        <f t="shared" si="0"/>
        <v>997182.95</v>
      </c>
      <c r="N77" s="729"/>
      <c r="O77" s="729"/>
      <c r="P77" s="729"/>
      <c r="Q77" s="729"/>
      <c r="R77" s="729"/>
      <c r="S77" s="729"/>
      <c r="T77" s="729"/>
      <c r="U77" s="729"/>
      <c r="V77" s="729"/>
      <c r="W77" s="729"/>
      <c r="X77" s="729"/>
      <c r="Y77" s="729"/>
      <c r="Z77" s="729"/>
      <c r="AA77" s="729"/>
      <c r="AB77" s="729"/>
      <c r="AC77" s="729"/>
      <c r="AD77" s="729"/>
      <c r="AE77" s="729"/>
      <c r="AF77" s="729"/>
      <c r="AG77" s="729"/>
      <c r="AH77" s="729"/>
      <c r="AI77" s="729"/>
      <c r="AJ77" s="729"/>
      <c r="AK77" s="729"/>
      <c r="AL77" s="729"/>
      <c r="AM77" s="729"/>
      <c r="AN77" s="729"/>
      <c r="AO77" s="729"/>
      <c r="AP77" s="729"/>
      <c r="AQ77" s="729"/>
      <c r="AR77" s="729"/>
      <c r="AS77" s="729"/>
      <c r="AT77" s="729"/>
      <c r="AU77" s="729"/>
      <c r="AV77" s="729"/>
      <c r="AW77" s="729"/>
      <c r="AX77" s="729"/>
      <c r="AY77" s="729"/>
      <c r="AZ77" s="729"/>
      <c r="BA77" s="729"/>
      <c r="BB77" s="729"/>
      <c r="BC77" s="729"/>
      <c r="BD77" s="729"/>
      <c r="BE77" s="729"/>
      <c r="BF77" s="729"/>
      <c r="BG77" s="729"/>
      <c r="BH77" s="729"/>
      <c r="BI77" s="729"/>
      <c r="BJ77" s="729"/>
      <c r="BK77" s="729"/>
      <c r="BL77" s="729"/>
      <c r="BM77" s="729"/>
      <c r="BN77" s="729"/>
      <c r="BO77" s="729"/>
      <c r="BP77" s="729"/>
      <c r="BQ77" s="729"/>
      <c r="BR77" s="729"/>
      <c r="BS77" s="729"/>
      <c r="BT77" s="729"/>
      <c r="BU77" s="729"/>
      <c r="BV77" s="729"/>
      <c r="BW77" s="732"/>
      <c r="BX77" s="732"/>
      <c r="BY77" s="732"/>
      <c r="BZ77" s="732"/>
      <c r="CA77" s="732"/>
      <c r="CB77" s="732"/>
      <c r="CC77" s="732"/>
      <c r="CD77" s="732"/>
      <c r="CE77" s="732"/>
      <c r="CF77" s="732"/>
      <c r="CG77" s="732"/>
      <c r="CH77" s="732"/>
      <c r="CI77" s="732"/>
      <c r="CJ77" s="732"/>
      <c r="CK77" s="732"/>
      <c r="CL77" s="732"/>
      <c r="CM77" s="732"/>
      <c r="CN77" s="732"/>
      <c r="CO77" s="732"/>
      <c r="CP77" s="732"/>
      <c r="CQ77" s="732"/>
      <c r="CR77" s="732"/>
      <c r="CS77" s="732"/>
      <c r="CT77" s="732"/>
      <c r="CU77" s="732"/>
      <c r="CV77" s="732"/>
      <c r="CW77" s="732"/>
      <c r="CX77" s="732"/>
      <c r="CY77" s="732"/>
      <c r="CZ77" s="732"/>
      <c r="DA77" s="732"/>
      <c r="DB77" s="732"/>
      <c r="DC77" s="732"/>
      <c r="DD77" s="732"/>
      <c r="DE77" s="732"/>
      <c r="DF77" s="732"/>
      <c r="DG77" s="732"/>
      <c r="DH77" s="732"/>
      <c r="DI77" s="732"/>
      <c r="DJ77" s="732"/>
      <c r="DK77" s="732"/>
      <c r="DL77" s="732"/>
      <c r="DM77" s="732"/>
      <c r="DN77" s="732"/>
      <c r="DO77" s="732"/>
      <c r="DP77" s="732"/>
      <c r="DQ77" s="732"/>
      <c r="DR77" s="732"/>
      <c r="DS77" s="732"/>
      <c r="DT77" s="732"/>
      <c r="DU77" s="732"/>
      <c r="DV77" s="732"/>
      <c r="DW77" s="732"/>
      <c r="DX77" s="732"/>
      <c r="DY77" s="732"/>
      <c r="DZ77" s="732"/>
      <c r="EA77" s="732"/>
      <c r="EB77" s="732"/>
      <c r="EC77" s="732"/>
      <c r="ED77" s="732"/>
      <c r="EE77" s="732"/>
      <c r="EF77" s="732"/>
      <c r="EG77" s="732"/>
      <c r="EH77" s="732"/>
      <c r="EI77" s="732"/>
      <c r="EJ77" s="732"/>
      <c r="EK77" s="732"/>
      <c r="EL77" s="732"/>
      <c r="EM77" s="732"/>
      <c r="EN77" s="732"/>
      <c r="EO77" s="732"/>
      <c r="EP77" s="732"/>
      <c r="EQ77" s="732"/>
      <c r="ER77" s="732"/>
      <c r="ES77" s="732"/>
      <c r="ET77" s="732"/>
      <c r="EU77" s="732"/>
      <c r="EV77" s="732"/>
      <c r="EW77" s="732"/>
      <c r="EX77" s="732"/>
      <c r="EY77" s="732"/>
      <c r="EZ77" s="732"/>
      <c r="FA77" s="732"/>
      <c r="FB77" s="732"/>
      <c r="FC77" s="732"/>
      <c r="FD77" s="732"/>
      <c r="FE77" s="732"/>
      <c r="FF77" s="732"/>
      <c r="FG77" s="732"/>
      <c r="FH77" s="732"/>
      <c r="FI77" s="732"/>
      <c r="FJ77" s="732"/>
      <c r="FK77" s="732"/>
      <c r="FL77" s="732"/>
      <c r="FM77" s="732"/>
      <c r="FN77" s="732"/>
      <c r="FO77" s="732"/>
      <c r="FP77" s="732"/>
      <c r="FQ77" s="732"/>
      <c r="FR77" s="732"/>
      <c r="FS77" s="732"/>
      <c r="FT77" s="732"/>
      <c r="FU77" s="732"/>
      <c r="FV77" s="732"/>
      <c r="FW77" s="732"/>
      <c r="FX77" s="732"/>
      <c r="FY77" s="732"/>
      <c r="FZ77" s="732"/>
      <c r="GA77" s="732"/>
      <c r="GB77" s="732"/>
      <c r="GC77" s="732"/>
      <c r="GD77" s="732"/>
      <c r="GE77" s="732"/>
      <c r="GF77" s="732"/>
      <c r="GG77" s="732"/>
      <c r="GH77" s="732"/>
      <c r="GI77" s="732"/>
      <c r="GJ77" s="732"/>
      <c r="GK77" s="732"/>
      <c r="GL77" s="732"/>
      <c r="GM77" s="732"/>
      <c r="GN77" s="732"/>
      <c r="GO77" s="732"/>
      <c r="GP77" s="732"/>
      <c r="GQ77" s="732"/>
      <c r="GR77" s="732"/>
      <c r="GS77" s="732"/>
      <c r="GT77" s="732"/>
      <c r="GU77" s="732"/>
      <c r="GV77" s="732"/>
      <c r="GW77" s="732"/>
      <c r="GX77" s="732"/>
      <c r="GY77" s="732"/>
      <c r="GZ77" s="732"/>
      <c r="HA77" s="732"/>
      <c r="HB77" s="732"/>
      <c r="HC77" s="732"/>
      <c r="HD77" s="732"/>
      <c r="HE77" s="732"/>
      <c r="HF77" s="732"/>
      <c r="HG77" s="732"/>
      <c r="HH77" s="732"/>
      <c r="HI77" s="732"/>
      <c r="HJ77" s="732"/>
      <c r="HK77" s="732"/>
      <c r="HL77" s="732"/>
      <c r="HM77" s="732"/>
      <c r="HN77" s="732"/>
      <c r="HO77" s="732"/>
      <c r="HP77" s="732"/>
      <c r="HQ77" s="732"/>
      <c r="HR77" s="732"/>
      <c r="HS77" s="732"/>
      <c r="HT77" s="732"/>
      <c r="HU77" s="732"/>
      <c r="HV77" s="732"/>
      <c r="HW77" s="732"/>
      <c r="HX77" s="732"/>
      <c r="HY77" s="732"/>
      <c r="HZ77" s="732"/>
      <c r="IA77" s="732"/>
      <c r="IB77" s="732"/>
      <c r="IC77" s="732"/>
      <c r="ID77" s="732"/>
      <c r="IE77" s="732"/>
      <c r="IF77" s="732"/>
      <c r="IG77" s="732"/>
      <c r="IH77" s="732"/>
      <c r="II77" s="732"/>
      <c r="IJ77" s="732"/>
      <c r="IK77" s="732"/>
      <c r="IL77" s="732"/>
      <c r="IM77" s="732"/>
      <c r="IN77" s="732"/>
      <c r="IO77" s="732"/>
      <c r="IP77" s="732"/>
      <c r="IQ77" s="732"/>
      <c r="IR77" s="732"/>
      <c r="IS77" s="732"/>
    </row>
    <row r="78" s="563" customFormat="1" ht="32.45" customHeight="1" spans="1:253">
      <c r="A78" s="719" t="s">
        <v>136</v>
      </c>
      <c r="B78" s="657" t="s">
        <v>137</v>
      </c>
      <c r="C78" s="698" t="s">
        <v>138</v>
      </c>
      <c r="D78" s="716" t="s">
        <v>17</v>
      </c>
      <c r="E78" s="720">
        <f>'PB VI - Memorial'!B100</f>
        <v>72.39</v>
      </c>
      <c r="F78" s="694">
        <v>21.57</v>
      </c>
      <c r="G78" s="694">
        <f t="shared" si="4"/>
        <v>1561.45</v>
      </c>
      <c r="H78" s="711"/>
      <c r="I78" s="711"/>
      <c r="J78" s="711"/>
      <c r="K78" s="711"/>
      <c r="L78" s="711"/>
      <c r="M78" s="695">
        <f t="shared" si="0"/>
        <v>997182.95</v>
      </c>
      <c r="N78" s="729"/>
      <c r="O78" s="729"/>
      <c r="P78" s="729"/>
      <c r="Q78" s="729"/>
      <c r="R78" s="729"/>
      <c r="S78" s="729"/>
      <c r="T78" s="729"/>
      <c r="U78" s="729"/>
      <c r="V78" s="729"/>
      <c r="W78" s="729"/>
      <c r="X78" s="729"/>
      <c r="Y78" s="729"/>
      <c r="Z78" s="729"/>
      <c r="AA78" s="729"/>
      <c r="AB78" s="729"/>
      <c r="AC78" s="729"/>
      <c r="AD78" s="729"/>
      <c r="AE78" s="729"/>
      <c r="AF78" s="729"/>
      <c r="AG78" s="729"/>
      <c r="AH78" s="729"/>
      <c r="AI78" s="729"/>
      <c r="AJ78" s="729"/>
      <c r="AK78" s="729"/>
      <c r="AL78" s="729"/>
      <c r="AM78" s="729"/>
      <c r="AN78" s="729"/>
      <c r="AO78" s="729"/>
      <c r="AP78" s="729"/>
      <c r="AQ78" s="729"/>
      <c r="AR78" s="729"/>
      <c r="AS78" s="729"/>
      <c r="AT78" s="729"/>
      <c r="AU78" s="729"/>
      <c r="AV78" s="729"/>
      <c r="AW78" s="729"/>
      <c r="AX78" s="729"/>
      <c r="AY78" s="729"/>
      <c r="AZ78" s="729"/>
      <c r="BA78" s="729"/>
      <c r="BB78" s="729"/>
      <c r="BC78" s="729"/>
      <c r="BD78" s="729"/>
      <c r="BE78" s="729"/>
      <c r="BF78" s="729"/>
      <c r="BG78" s="729"/>
      <c r="BH78" s="729"/>
      <c r="BI78" s="729"/>
      <c r="BJ78" s="729"/>
      <c r="BK78" s="729"/>
      <c r="BL78" s="729"/>
      <c r="BM78" s="729"/>
      <c r="BN78" s="729"/>
      <c r="BO78" s="729"/>
      <c r="BP78" s="729"/>
      <c r="BQ78" s="729"/>
      <c r="BR78" s="729"/>
      <c r="BS78" s="729"/>
      <c r="BT78" s="729"/>
      <c r="BU78" s="729"/>
      <c r="BV78" s="729"/>
      <c r="BW78" s="732"/>
      <c r="BX78" s="732"/>
      <c r="BY78" s="732"/>
      <c r="BZ78" s="732"/>
      <c r="CA78" s="732"/>
      <c r="CB78" s="732"/>
      <c r="CC78" s="732"/>
      <c r="CD78" s="732"/>
      <c r="CE78" s="732"/>
      <c r="CF78" s="732"/>
      <c r="CG78" s="732"/>
      <c r="CH78" s="732"/>
      <c r="CI78" s="732"/>
      <c r="CJ78" s="732"/>
      <c r="CK78" s="732"/>
      <c r="CL78" s="732"/>
      <c r="CM78" s="732"/>
      <c r="CN78" s="732"/>
      <c r="CO78" s="732"/>
      <c r="CP78" s="732"/>
      <c r="CQ78" s="732"/>
      <c r="CR78" s="732"/>
      <c r="CS78" s="732"/>
      <c r="CT78" s="732"/>
      <c r="CU78" s="732"/>
      <c r="CV78" s="732"/>
      <c r="CW78" s="732"/>
      <c r="CX78" s="732"/>
      <c r="CY78" s="732"/>
      <c r="CZ78" s="732"/>
      <c r="DA78" s="732"/>
      <c r="DB78" s="732"/>
      <c r="DC78" s="732"/>
      <c r="DD78" s="732"/>
      <c r="DE78" s="732"/>
      <c r="DF78" s="732"/>
      <c r="DG78" s="732"/>
      <c r="DH78" s="732"/>
      <c r="DI78" s="732"/>
      <c r="DJ78" s="732"/>
      <c r="DK78" s="732"/>
      <c r="DL78" s="732"/>
      <c r="DM78" s="732"/>
      <c r="DN78" s="732"/>
      <c r="DO78" s="732"/>
      <c r="DP78" s="732"/>
      <c r="DQ78" s="732"/>
      <c r="DR78" s="732"/>
      <c r="DS78" s="732"/>
      <c r="DT78" s="732"/>
      <c r="DU78" s="732"/>
      <c r="DV78" s="732"/>
      <c r="DW78" s="732"/>
      <c r="DX78" s="732"/>
      <c r="DY78" s="732"/>
      <c r="DZ78" s="732"/>
      <c r="EA78" s="732"/>
      <c r="EB78" s="732"/>
      <c r="EC78" s="732"/>
      <c r="ED78" s="732"/>
      <c r="EE78" s="732"/>
      <c r="EF78" s="732"/>
      <c r="EG78" s="732"/>
      <c r="EH78" s="732"/>
      <c r="EI78" s="732"/>
      <c r="EJ78" s="732"/>
      <c r="EK78" s="732"/>
      <c r="EL78" s="732"/>
      <c r="EM78" s="732"/>
      <c r="EN78" s="732"/>
      <c r="EO78" s="732"/>
      <c r="EP78" s="732"/>
      <c r="EQ78" s="732"/>
      <c r="ER78" s="732"/>
      <c r="ES78" s="732"/>
      <c r="ET78" s="732"/>
      <c r="EU78" s="732"/>
      <c r="EV78" s="732"/>
      <c r="EW78" s="732"/>
      <c r="EX78" s="732"/>
      <c r="EY78" s="732"/>
      <c r="EZ78" s="732"/>
      <c r="FA78" s="732"/>
      <c r="FB78" s="732"/>
      <c r="FC78" s="732"/>
      <c r="FD78" s="732"/>
      <c r="FE78" s="732"/>
      <c r="FF78" s="732"/>
      <c r="FG78" s="732"/>
      <c r="FH78" s="732"/>
      <c r="FI78" s="732"/>
      <c r="FJ78" s="732"/>
      <c r="FK78" s="732"/>
      <c r="FL78" s="732"/>
      <c r="FM78" s="732"/>
      <c r="FN78" s="732"/>
      <c r="FO78" s="732"/>
      <c r="FP78" s="732"/>
      <c r="FQ78" s="732"/>
      <c r="FR78" s="732"/>
      <c r="FS78" s="732"/>
      <c r="FT78" s="732"/>
      <c r="FU78" s="732"/>
      <c r="FV78" s="732"/>
      <c r="FW78" s="732"/>
      <c r="FX78" s="732"/>
      <c r="FY78" s="732"/>
      <c r="FZ78" s="732"/>
      <c r="GA78" s="732"/>
      <c r="GB78" s="732"/>
      <c r="GC78" s="732"/>
      <c r="GD78" s="732"/>
      <c r="GE78" s="732"/>
      <c r="GF78" s="732"/>
      <c r="GG78" s="732"/>
      <c r="GH78" s="732"/>
      <c r="GI78" s="732"/>
      <c r="GJ78" s="732"/>
      <c r="GK78" s="732"/>
      <c r="GL78" s="732"/>
      <c r="GM78" s="732"/>
      <c r="GN78" s="732"/>
      <c r="GO78" s="732"/>
      <c r="GP78" s="732"/>
      <c r="GQ78" s="732"/>
      <c r="GR78" s="732"/>
      <c r="GS78" s="732"/>
      <c r="GT78" s="732"/>
      <c r="GU78" s="732"/>
      <c r="GV78" s="732"/>
      <c r="GW78" s="732"/>
      <c r="GX78" s="732"/>
      <c r="GY78" s="732"/>
      <c r="GZ78" s="732"/>
      <c r="HA78" s="732"/>
      <c r="HB78" s="732"/>
      <c r="HC78" s="732"/>
      <c r="HD78" s="732"/>
      <c r="HE78" s="732"/>
      <c r="HF78" s="732"/>
      <c r="HG78" s="732"/>
      <c r="HH78" s="732"/>
      <c r="HI78" s="732"/>
      <c r="HJ78" s="732"/>
      <c r="HK78" s="732"/>
      <c r="HL78" s="732"/>
      <c r="HM78" s="732"/>
      <c r="HN78" s="732"/>
      <c r="HO78" s="732"/>
      <c r="HP78" s="732"/>
      <c r="HQ78" s="732"/>
      <c r="HR78" s="732"/>
      <c r="HS78" s="732"/>
      <c r="HT78" s="732"/>
      <c r="HU78" s="732"/>
      <c r="HV78" s="732"/>
      <c r="HW78" s="732"/>
      <c r="HX78" s="732"/>
      <c r="HY78" s="732"/>
      <c r="HZ78" s="732"/>
      <c r="IA78" s="732"/>
      <c r="IB78" s="732"/>
      <c r="IC78" s="732"/>
      <c r="ID78" s="732"/>
      <c r="IE78" s="732"/>
      <c r="IF78" s="732"/>
      <c r="IG78" s="732"/>
      <c r="IH78" s="732"/>
      <c r="II78" s="732"/>
      <c r="IJ78" s="732"/>
      <c r="IK78" s="732"/>
      <c r="IL78" s="732"/>
      <c r="IM78" s="732"/>
      <c r="IN78" s="732"/>
      <c r="IO78" s="732"/>
      <c r="IP78" s="732"/>
      <c r="IQ78" s="732"/>
      <c r="IR78" s="732"/>
      <c r="IS78" s="732"/>
    </row>
    <row r="79" s="563" customFormat="1" ht="20.1" customHeight="1" spans="1:253">
      <c r="A79" s="719"/>
      <c r="B79" s="657"/>
      <c r="C79" s="698"/>
      <c r="D79" s="716"/>
      <c r="E79" s="720"/>
      <c r="F79" s="694"/>
      <c r="G79" s="694"/>
      <c r="H79" s="711"/>
      <c r="I79" s="711"/>
      <c r="J79" s="711"/>
      <c r="K79" s="711"/>
      <c r="L79" s="711"/>
      <c r="M79" s="695"/>
      <c r="N79" s="729"/>
      <c r="O79" s="729"/>
      <c r="P79" s="729"/>
      <c r="Q79" s="729"/>
      <c r="R79" s="729"/>
      <c r="S79" s="729"/>
      <c r="T79" s="729"/>
      <c r="U79" s="729"/>
      <c r="V79" s="729"/>
      <c r="W79" s="729"/>
      <c r="X79" s="729"/>
      <c r="Y79" s="729"/>
      <c r="Z79" s="729"/>
      <c r="AA79" s="729"/>
      <c r="AB79" s="729"/>
      <c r="AC79" s="729"/>
      <c r="AD79" s="729"/>
      <c r="AE79" s="729"/>
      <c r="AF79" s="729"/>
      <c r="AG79" s="729"/>
      <c r="AH79" s="729"/>
      <c r="AI79" s="729"/>
      <c r="AJ79" s="729"/>
      <c r="AK79" s="729"/>
      <c r="AL79" s="729"/>
      <c r="AM79" s="729"/>
      <c r="AN79" s="729"/>
      <c r="AO79" s="729"/>
      <c r="AP79" s="729"/>
      <c r="AQ79" s="729"/>
      <c r="AR79" s="729"/>
      <c r="AS79" s="729"/>
      <c r="AT79" s="729"/>
      <c r="AU79" s="729"/>
      <c r="AV79" s="729"/>
      <c r="AW79" s="729"/>
      <c r="AX79" s="729"/>
      <c r="AY79" s="729"/>
      <c r="AZ79" s="729"/>
      <c r="BA79" s="729"/>
      <c r="BB79" s="729"/>
      <c r="BC79" s="729"/>
      <c r="BD79" s="729"/>
      <c r="BE79" s="729"/>
      <c r="BF79" s="729"/>
      <c r="BG79" s="729"/>
      <c r="BH79" s="729"/>
      <c r="BI79" s="729"/>
      <c r="BJ79" s="729"/>
      <c r="BK79" s="729"/>
      <c r="BL79" s="729"/>
      <c r="BM79" s="729"/>
      <c r="BN79" s="729"/>
      <c r="BO79" s="729"/>
      <c r="BP79" s="729"/>
      <c r="BQ79" s="729"/>
      <c r="BR79" s="729"/>
      <c r="BS79" s="729"/>
      <c r="BT79" s="729"/>
      <c r="BU79" s="729"/>
      <c r="BV79" s="729"/>
      <c r="BW79" s="732"/>
      <c r="BX79" s="732"/>
      <c r="BY79" s="732"/>
      <c r="BZ79" s="732"/>
      <c r="CA79" s="732"/>
      <c r="CB79" s="732"/>
      <c r="CC79" s="732"/>
      <c r="CD79" s="732"/>
      <c r="CE79" s="732"/>
      <c r="CF79" s="732"/>
      <c r="CG79" s="732"/>
      <c r="CH79" s="732"/>
      <c r="CI79" s="732"/>
      <c r="CJ79" s="732"/>
      <c r="CK79" s="732"/>
      <c r="CL79" s="732"/>
      <c r="CM79" s="732"/>
      <c r="CN79" s="732"/>
      <c r="CO79" s="732"/>
      <c r="CP79" s="732"/>
      <c r="CQ79" s="732"/>
      <c r="CR79" s="732"/>
      <c r="CS79" s="732"/>
      <c r="CT79" s="732"/>
      <c r="CU79" s="732"/>
      <c r="CV79" s="732"/>
      <c r="CW79" s="732"/>
      <c r="CX79" s="732"/>
      <c r="CY79" s="732"/>
      <c r="CZ79" s="732"/>
      <c r="DA79" s="732"/>
      <c r="DB79" s="732"/>
      <c r="DC79" s="732"/>
      <c r="DD79" s="732"/>
      <c r="DE79" s="732"/>
      <c r="DF79" s="732"/>
      <c r="DG79" s="732"/>
      <c r="DH79" s="732"/>
      <c r="DI79" s="732"/>
      <c r="DJ79" s="732"/>
      <c r="DK79" s="732"/>
      <c r="DL79" s="732"/>
      <c r="DM79" s="732"/>
      <c r="DN79" s="732"/>
      <c r="DO79" s="732"/>
      <c r="DP79" s="732"/>
      <c r="DQ79" s="732"/>
      <c r="DR79" s="732"/>
      <c r="DS79" s="732"/>
      <c r="DT79" s="732"/>
      <c r="DU79" s="732"/>
      <c r="DV79" s="732"/>
      <c r="DW79" s="732"/>
      <c r="DX79" s="732"/>
      <c r="DY79" s="732"/>
      <c r="DZ79" s="732"/>
      <c r="EA79" s="732"/>
      <c r="EB79" s="732"/>
      <c r="EC79" s="732"/>
      <c r="ED79" s="732"/>
      <c r="EE79" s="732"/>
      <c r="EF79" s="732"/>
      <c r="EG79" s="732"/>
      <c r="EH79" s="732"/>
      <c r="EI79" s="732"/>
      <c r="EJ79" s="732"/>
      <c r="EK79" s="732"/>
      <c r="EL79" s="732"/>
      <c r="EM79" s="732"/>
      <c r="EN79" s="732"/>
      <c r="EO79" s="732"/>
      <c r="EP79" s="732"/>
      <c r="EQ79" s="732"/>
      <c r="ER79" s="732"/>
      <c r="ES79" s="732"/>
      <c r="ET79" s="732"/>
      <c r="EU79" s="732"/>
      <c r="EV79" s="732"/>
      <c r="EW79" s="732"/>
      <c r="EX79" s="732"/>
      <c r="EY79" s="732"/>
      <c r="EZ79" s="732"/>
      <c r="FA79" s="732"/>
      <c r="FB79" s="732"/>
      <c r="FC79" s="732"/>
      <c r="FD79" s="732"/>
      <c r="FE79" s="732"/>
      <c r="FF79" s="732"/>
      <c r="FG79" s="732"/>
      <c r="FH79" s="732"/>
      <c r="FI79" s="732"/>
      <c r="FJ79" s="732"/>
      <c r="FK79" s="732"/>
      <c r="FL79" s="732"/>
      <c r="FM79" s="732"/>
      <c r="FN79" s="732"/>
      <c r="FO79" s="732"/>
      <c r="FP79" s="732"/>
      <c r="FQ79" s="732"/>
      <c r="FR79" s="732"/>
      <c r="FS79" s="732"/>
      <c r="FT79" s="732"/>
      <c r="FU79" s="732"/>
      <c r="FV79" s="732"/>
      <c r="FW79" s="732"/>
      <c r="FX79" s="732"/>
      <c r="FY79" s="732"/>
      <c r="FZ79" s="732"/>
      <c r="GA79" s="732"/>
      <c r="GB79" s="732"/>
      <c r="GC79" s="732"/>
      <c r="GD79" s="732"/>
      <c r="GE79" s="732"/>
      <c r="GF79" s="732"/>
      <c r="GG79" s="732"/>
      <c r="GH79" s="732"/>
      <c r="GI79" s="732"/>
      <c r="GJ79" s="732"/>
      <c r="GK79" s="732"/>
      <c r="GL79" s="732"/>
      <c r="GM79" s="732"/>
      <c r="GN79" s="732"/>
      <c r="GO79" s="732"/>
      <c r="GP79" s="732"/>
      <c r="GQ79" s="732"/>
      <c r="GR79" s="732"/>
      <c r="GS79" s="732"/>
      <c r="GT79" s="732"/>
      <c r="GU79" s="732"/>
      <c r="GV79" s="732"/>
      <c r="GW79" s="732"/>
      <c r="GX79" s="732"/>
      <c r="GY79" s="732"/>
      <c r="GZ79" s="732"/>
      <c r="HA79" s="732"/>
      <c r="HB79" s="732"/>
      <c r="HC79" s="732"/>
      <c r="HD79" s="732"/>
      <c r="HE79" s="732"/>
      <c r="HF79" s="732"/>
      <c r="HG79" s="732"/>
      <c r="HH79" s="732"/>
      <c r="HI79" s="732"/>
      <c r="HJ79" s="732"/>
      <c r="HK79" s="732"/>
      <c r="HL79" s="732"/>
      <c r="HM79" s="732"/>
      <c r="HN79" s="732"/>
      <c r="HO79" s="732"/>
      <c r="HP79" s="732"/>
      <c r="HQ79" s="732"/>
      <c r="HR79" s="732"/>
      <c r="HS79" s="732"/>
      <c r="HT79" s="732"/>
      <c r="HU79" s="732"/>
      <c r="HV79" s="732"/>
      <c r="HW79" s="732"/>
      <c r="HX79" s="732"/>
      <c r="HY79" s="732"/>
      <c r="HZ79" s="732"/>
      <c r="IA79" s="732"/>
      <c r="IB79" s="732"/>
      <c r="IC79" s="732"/>
      <c r="ID79" s="732"/>
      <c r="IE79" s="732"/>
      <c r="IF79" s="732"/>
      <c r="IG79" s="732"/>
      <c r="IH79" s="732"/>
      <c r="II79" s="732"/>
      <c r="IJ79" s="732"/>
      <c r="IK79" s="732"/>
      <c r="IL79" s="732"/>
      <c r="IM79" s="732"/>
      <c r="IN79" s="732"/>
      <c r="IO79" s="732"/>
      <c r="IP79" s="732"/>
      <c r="IQ79" s="732"/>
      <c r="IR79" s="732"/>
      <c r="IS79" s="732"/>
    </row>
    <row r="80" s="563" customFormat="1" ht="21" spans="1:253">
      <c r="A80" s="721"/>
      <c r="B80" s="722" t="s">
        <v>31</v>
      </c>
      <c r="C80" s="723" t="s">
        <v>139</v>
      </c>
      <c r="D80" s="716"/>
      <c r="E80" s="720"/>
      <c r="F80" s="694"/>
      <c r="G80" s="694"/>
      <c r="H80" s="711"/>
      <c r="I80" s="711"/>
      <c r="J80" s="711"/>
      <c r="K80" s="711"/>
      <c r="L80" s="711"/>
      <c r="M80" s="695">
        <f>$F$432</f>
        <v>997182.95</v>
      </c>
      <c r="N80" s="729"/>
      <c r="O80" s="729"/>
      <c r="P80" s="729"/>
      <c r="Q80" s="729"/>
      <c r="R80" s="729"/>
      <c r="S80" s="729"/>
      <c r="T80" s="729"/>
      <c r="U80" s="729"/>
      <c r="V80" s="729"/>
      <c r="W80" s="729"/>
      <c r="X80" s="729"/>
      <c r="Y80" s="729"/>
      <c r="Z80" s="729"/>
      <c r="AA80" s="729"/>
      <c r="AB80" s="729"/>
      <c r="AC80" s="729"/>
      <c r="AD80" s="729"/>
      <c r="AE80" s="729"/>
      <c r="AF80" s="729"/>
      <c r="AG80" s="729"/>
      <c r="AH80" s="729"/>
      <c r="AI80" s="729"/>
      <c r="AJ80" s="729"/>
      <c r="AK80" s="729"/>
      <c r="AL80" s="729"/>
      <c r="AM80" s="729"/>
      <c r="AN80" s="729"/>
      <c r="AO80" s="729"/>
      <c r="AP80" s="729"/>
      <c r="AQ80" s="729"/>
      <c r="AR80" s="729"/>
      <c r="AS80" s="729"/>
      <c r="AT80" s="729"/>
      <c r="AU80" s="729"/>
      <c r="AV80" s="729"/>
      <c r="AW80" s="729"/>
      <c r="AX80" s="729"/>
      <c r="AY80" s="729"/>
      <c r="AZ80" s="729"/>
      <c r="BA80" s="729"/>
      <c r="BB80" s="729"/>
      <c r="BC80" s="729"/>
      <c r="BD80" s="729"/>
      <c r="BE80" s="729"/>
      <c r="BF80" s="729"/>
      <c r="BG80" s="729"/>
      <c r="BH80" s="729"/>
      <c r="BI80" s="729"/>
      <c r="BJ80" s="729"/>
      <c r="BK80" s="729"/>
      <c r="BL80" s="729"/>
      <c r="BM80" s="729"/>
      <c r="BN80" s="729"/>
      <c r="BO80" s="729"/>
      <c r="BP80" s="729"/>
      <c r="BQ80" s="729"/>
      <c r="BR80" s="729"/>
      <c r="BS80" s="729"/>
      <c r="BT80" s="729"/>
      <c r="BU80" s="729"/>
      <c r="BV80" s="729"/>
      <c r="BW80" s="732"/>
      <c r="BX80" s="732"/>
      <c r="BY80" s="732"/>
      <c r="BZ80" s="732"/>
      <c r="CA80" s="732"/>
      <c r="CB80" s="732"/>
      <c r="CC80" s="732"/>
      <c r="CD80" s="732"/>
      <c r="CE80" s="732"/>
      <c r="CF80" s="732"/>
      <c r="CG80" s="732"/>
      <c r="CH80" s="732"/>
      <c r="CI80" s="732"/>
      <c r="CJ80" s="732"/>
      <c r="CK80" s="732"/>
      <c r="CL80" s="732"/>
      <c r="CM80" s="732"/>
      <c r="CN80" s="732"/>
      <c r="CO80" s="732"/>
      <c r="CP80" s="732"/>
      <c r="CQ80" s="732"/>
      <c r="CR80" s="732"/>
      <c r="CS80" s="732"/>
      <c r="CT80" s="732"/>
      <c r="CU80" s="732"/>
      <c r="CV80" s="732"/>
      <c r="CW80" s="732"/>
      <c r="CX80" s="732"/>
      <c r="CY80" s="732"/>
      <c r="CZ80" s="732"/>
      <c r="DA80" s="732"/>
      <c r="DB80" s="732"/>
      <c r="DC80" s="732"/>
      <c r="DD80" s="732"/>
      <c r="DE80" s="732"/>
      <c r="DF80" s="732"/>
      <c r="DG80" s="732"/>
      <c r="DH80" s="732"/>
      <c r="DI80" s="732"/>
      <c r="DJ80" s="732"/>
      <c r="DK80" s="732"/>
      <c r="DL80" s="732"/>
      <c r="DM80" s="732"/>
      <c r="DN80" s="732"/>
      <c r="DO80" s="732"/>
      <c r="DP80" s="732"/>
      <c r="DQ80" s="732"/>
      <c r="DR80" s="732"/>
      <c r="DS80" s="732"/>
      <c r="DT80" s="732"/>
      <c r="DU80" s="732"/>
      <c r="DV80" s="732"/>
      <c r="DW80" s="732"/>
      <c r="DX80" s="732"/>
      <c r="DY80" s="732"/>
      <c r="DZ80" s="732"/>
      <c r="EA80" s="732"/>
      <c r="EB80" s="732"/>
      <c r="EC80" s="732"/>
      <c r="ED80" s="732"/>
      <c r="EE80" s="732"/>
      <c r="EF80" s="732"/>
      <c r="EG80" s="732"/>
      <c r="EH80" s="732"/>
      <c r="EI80" s="732"/>
      <c r="EJ80" s="732"/>
      <c r="EK80" s="732"/>
      <c r="EL80" s="732"/>
      <c r="EM80" s="732"/>
      <c r="EN80" s="732"/>
      <c r="EO80" s="732"/>
      <c r="EP80" s="732"/>
      <c r="EQ80" s="732"/>
      <c r="ER80" s="732"/>
      <c r="ES80" s="732"/>
      <c r="ET80" s="732"/>
      <c r="EU80" s="732"/>
      <c r="EV80" s="732"/>
      <c r="EW80" s="732"/>
      <c r="EX80" s="732"/>
      <c r="EY80" s="732"/>
      <c r="EZ80" s="732"/>
      <c r="FA80" s="732"/>
      <c r="FB80" s="732"/>
      <c r="FC80" s="732"/>
      <c r="FD80" s="732"/>
      <c r="FE80" s="732"/>
      <c r="FF80" s="732"/>
      <c r="FG80" s="732"/>
      <c r="FH80" s="732"/>
      <c r="FI80" s="732"/>
      <c r="FJ80" s="732"/>
      <c r="FK80" s="732"/>
      <c r="FL80" s="732"/>
      <c r="FM80" s="732"/>
      <c r="FN80" s="732"/>
      <c r="FO80" s="732"/>
      <c r="FP80" s="732"/>
      <c r="FQ80" s="732"/>
      <c r="FR80" s="732"/>
      <c r="FS80" s="732"/>
      <c r="FT80" s="732"/>
      <c r="FU80" s="732"/>
      <c r="FV80" s="732"/>
      <c r="FW80" s="732"/>
      <c r="FX80" s="732"/>
      <c r="FY80" s="732"/>
      <c r="FZ80" s="732"/>
      <c r="GA80" s="732"/>
      <c r="GB80" s="732"/>
      <c r="GC80" s="732"/>
      <c r="GD80" s="732"/>
      <c r="GE80" s="732"/>
      <c r="GF80" s="732"/>
      <c r="GG80" s="732"/>
      <c r="GH80" s="732"/>
      <c r="GI80" s="732"/>
      <c r="GJ80" s="732"/>
      <c r="GK80" s="732"/>
      <c r="GL80" s="732"/>
      <c r="GM80" s="732"/>
      <c r="GN80" s="732"/>
      <c r="GO80" s="732"/>
      <c r="GP80" s="732"/>
      <c r="GQ80" s="732"/>
      <c r="GR80" s="732"/>
      <c r="GS80" s="732"/>
      <c r="GT80" s="732"/>
      <c r="GU80" s="732"/>
      <c r="GV80" s="732"/>
      <c r="GW80" s="732"/>
      <c r="GX80" s="732"/>
      <c r="GY80" s="732"/>
      <c r="GZ80" s="732"/>
      <c r="HA80" s="732"/>
      <c r="HB80" s="732"/>
      <c r="HC80" s="732"/>
      <c r="HD80" s="732"/>
      <c r="HE80" s="732"/>
      <c r="HF80" s="732"/>
      <c r="HG80" s="732"/>
      <c r="HH80" s="732"/>
      <c r="HI80" s="732"/>
      <c r="HJ80" s="732"/>
      <c r="HK80" s="732"/>
      <c r="HL80" s="732"/>
      <c r="HM80" s="732"/>
      <c r="HN80" s="732"/>
      <c r="HO80" s="732"/>
      <c r="HP80" s="732"/>
      <c r="HQ80" s="732"/>
      <c r="HR80" s="732"/>
      <c r="HS80" s="732"/>
      <c r="HT80" s="732"/>
      <c r="HU80" s="732"/>
      <c r="HV80" s="732"/>
      <c r="HW80" s="732"/>
      <c r="HX80" s="732"/>
      <c r="HY80" s="732"/>
      <c r="HZ80" s="732"/>
      <c r="IA80" s="732"/>
      <c r="IB80" s="732"/>
      <c r="IC80" s="732"/>
      <c r="ID80" s="732"/>
      <c r="IE80" s="732"/>
      <c r="IF80" s="732"/>
      <c r="IG80" s="732"/>
      <c r="IH80" s="732"/>
      <c r="II80" s="732"/>
      <c r="IJ80" s="732"/>
      <c r="IK80" s="732"/>
      <c r="IL80" s="732"/>
      <c r="IM80" s="732"/>
      <c r="IN80" s="732"/>
      <c r="IO80" s="732"/>
      <c r="IP80" s="732"/>
      <c r="IQ80" s="732"/>
      <c r="IR80" s="732"/>
      <c r="IS80" s="732"/>
    </row>
    <row r="81" s="563" customFormat="1" ht="15" spans="1:253">
      <c r="A81" s="719" t="s">
        <v>114</v>
      </c>
      <c r="B81" s="657" t="s">
        <v>140</v>
      </c>
      <c r="C81" s="698" t="s">
        <v>141</v>
      </c>
      <c r="D81" s="716" t="s">
        <v>23</v>
      </c>
      <c r="E81" s="720">
        <f>'PB VI - Memorial'!B103</f>
        <v>9.7</v>
      </c>
      <c r="F81" s="694">
        <f>F70</f>
        <v>393.85</v>
      </c>
      <c r="G81" s="694">
        <f>ROUND(E81*F81,2)</f>
        <v>3820.35</v>
      </c>
      <c r="H81" s="711"/>
      <c r="I81" s="711"/>
      <c r="J81" s="711"/>
      <c r="K81" s="711"/>
      <c r="L81" s="711"/>
      <c r="M81" s="695">
        <f>$F$432</f>
        <v>997182.95</v>
      </c>
      <c r="N81" s="729"/>
      <c r="O81" s="729"/>
      <c r="P81" s="729"/>
      <c r="Q81" s="729"/>
      <c r="R81" s="729"/>
      <c r="S81" s="729"/>
      <c r="T81" s="729"/>
      <c r="U81" s="729"/>
      <c r="V81" s="729"/>
      <c r="W81" s="729"/>
      <c r="X81" s="729"/>
      <c r="Y81" s="729"/>
      <c r="Z81" s="729"/>
      <c r="AA81" s="729"/>
      <c r="AB81" s="729"/>
      <c r="AC81" s="729"/>
      <c r="AD81" s="729"/>
      <c r="AE81" s="729"/>
      <c r="AF81" s="729"/>
      <c r="AG81" s="729"/>
      <c r="AH81" s="729"/>
      <c r="AI81" s="729"/>
      <c r="AJ81" s="729"/>
      <c r="AK81" s="729"/>
      <c r="AL81" s="729"/>
      <c r="AM81" s="729"/>
      <c r="AN81" s="729"/>
      <c r="AO81" s="729"/>
      <c r="AP81" s="729"/>
      <c r="AQ81" s="729"/>
      <c r="AR81" s="729"/>
      <c r="AS81" s="729"/>
      <c r="AT81" s="729"/>
      <c r="AU81" s="729"/>
      <c r="AV81" s="729"/>
      <c r="AW81" s="729"/>
      <c r="AX81" s="729"/>
      <c r="AY81" s="729"/>
      <c r="AZ81" s="729"/>
      <c r="BA81" s="729"/>
      <c r="BB81" s="729"/>
      <c r="BC81" s="729"/>
      <c r="BD81" s="729"/>
      <c r="BE81" s="729"/>
      <c r="BF81" s="729"/>
      <c r="BG81" s="729"/>
      <c r="BH81" s="729"/>
      <c r="BI81" s="729"/>
      <c r="BJ81" s="729"/>
      <c r="BK81" s="729"/>
      <c r="BL81" s="729"/>
      <c r="BM81" s="729"/>
      <c r="BN81" s="729"/>
      <c r="BO81" s="729"/>
      <c r="BP81" s="729"/>
      <c r="BQ81" s="729"/>
      <c r="BR81" s="729"/>
      <c r="BS81" s="729"/>
      <c r="BT81" s="729"/>
      <c r="BU81" s="729"/>
      <c r="BV81" s="729"/>
      <c r="BW81" s="732"/>
      <c r="BX81" s="732"/>
      <c r="BY81" s="732"/>
      <c r="BZ81" s="732"/>
      <c r="CA81" s="732"/>
      <c r="CB81" s="732"/>
      <c r="CC81" s="732"/>
      <c r="CD81" s="732"/>
      <c r="CE81" s="732"/>
      <c r="CF81" s="732"/>
      <c r="CG81" s="732"/>
      <c r="CH81" s="732"/>
      <c r="CI81" s="732"/>
      <c r="CJ81" s="732"/>
      <c r="CK81" s="732"/>
      <c r="CL81" s="732"/>
      <c r="CM81" s="732"/>
      <c r="CN81" s="732"/>
      <c r="CO81" s="732"/>
      <c r="CP81" s="732"/>
      <c r="CQ81" s="732"/>
      <c r="CR81" s="732"/>
      <c r="CS81" s="732"/>
      <c r="CT81" s="732"/>
      <c r="CU81" s="732"/>
      <c r="CV81" s="732"/>
      <c r="CW81" s="732"/>
      <c r="CX81" s="732"/>
      <c r="CY81" s="732"/>
      <c r="CZ81" s="732"/>
      <c r="DA81" s="732"/>
      <c r="DB81" s="732"/>
      <c r="DC81" s="732"/>
      <c r="DD81" s="732"/>
      <c r="DE81" s="732"/>
      <c r="DF81" s="732"/>
      <c r="DG81" s="732"/>
      <c r="DH81" s="732"/>
      <c r="DI81" s="732"/>
      <c r="DJ81" s="732"/>
      <c r="DK81" s="732"/>
      <c r="DL81" s="732"/>
      <c r="DM81" s="732"/>
      <c r="DN81" s="732"/>
      <c r="DO81" s="732"/>
      <c r="DP81" s="732"/>
      <c r="DQ81" s="732"/>
      <c r="DR81" s="732"/>
      <c r="DS81" s="732"/>
      <c r="DT81" s="732"/>
      <c r="DU81" s="732"/>
      <c r="DV81" s="732"/>
      <c r="DW81" s="732"/>
      <c r="DX81" s="732"/>
      <c r="DY81" s="732"/>
      <c r="DZ81" s="732"/>
      <c r="EA81" s="732"/>
      <c r="EB81" s="732"/>
      <c r="EC81" s="732"/>
      <c r="ED81" s="732"/>
      <c r="EE81" s="732"/>
      <c r="EF81" s="732"/>
      <c r="EG81" s="732"/>
      <c r="EH81" s="732"/>
      <c r="EI81" s="732"/>
      <c r="EJ81" s="732"/>
      <c r="EK81" s="732"/>
      <c r="EL81" s="732"/>
      <c r="EM81" s="732"/>
      <c r="EN81" s="732"/>
      <c r="EO81" s="732"/>
      <c r="EP81" s="732"/>
      <c r="EQ81" s="732"/>
      <c r="ER81" s="732"/>
      <c r="ES81" s="732"/>
      <c r="ET81" s="732"/>
      <c r="EU81" s="732"/>
      <c r="EV81" s="732"/>
      <c r="EW81" s="732"/>
      <c r="EX81" s="732"/>
      <c r="EY81" s="732"/>
      <c r="EZ81" s="732"/>
      <c r="FA81" s="732"/>
      <c r="FB81" s="732"/>
      <c r="FC81" s="732"/>
      <c r="FD81" s="732"/>
      <c r="FE81" s="732"/>
      <c r="FF81" s="732"/>
      <c r="FG81" s="732"/>
      <c r="FH81" s="732"/>
      <c r="FI81" s="732"/>
      <c r="FJ81" s="732"/>
      <c r="FK81" s="732"/>
      <c r="FL81" s="732"/>
      <c r="FM81" s="732"/>
      <c r="FN81" s="732"/>
      <c r="FO81" s="732"/>
      <c r="FP81" s="732"/>
      <c r="FQ81" s="732"/>
      <c r="FR81" s="732"/>
      <c r="FS81" s="732"/>
      <c r="FT81" s="732"/>
      <c r="FU81" s="732"/>
      <c r="FV81" s="732"/>
      <c r="FW81" s="732"/>
      <c r="FX81" s="732"/>
      <c r="FY81" s="732"/>
      <c r="FZ81" s="732"/>
      <c r="GA81" s="732"/>
      <c r="GB81" s="732"/>
      <c r="GC81" s="732"/>
      <c r="GD81" s="732"/>
      <c r="GE81" s="732"/>
      <c r="GF81" s="732"/>
      <c r="GG81" s="732"/>
      <c r="GH81" s="732"/>
      <c r="GI81" s="732"/>
      <c r="GJ81" s="732"/>
      <c r="GK81" s="732"/>
      <c r="GL81" s="732"/>
      <c r="GM81" s="732"/>
      <c r="GN81" s="732"/>
      <c r="GO81" s="732"/>
      <c r="GP81" s="732"/>
      <c r="GQ81" s="732"/>
      <c r="GR81" s="732"/>
      <c r="GS81" s="732"/>
      <c r="GT81" s="732"/>
      <c r="GU81" s="732"/>
      <c r="GV81" s="732"/>
      <c r="GW81" s="732"/>
      <c r="GX81" s="732"/>
      <c r="GY81" s="732"/>
      <c r="GZ81" s="732"/>
      <c r="HA81" s="732"/>
      <c r="HB81" s="732"/>
      <c r="HC81" s="732"/>
      <c r="HD81" s="732"/>
      <c r="HE81" s="732"/>
      <c r="HF81" s="732"/>
      <c r="HG81" s="732"/>
      <c r="HH81" s="732"/>
      <c r="HI81" s="732"/>
      <c r="HJ81" s="732"/>
      <c r="HK81" s="732"/>
      <c r="HL81" s="732"/>
      <c r="HM81" s="732"/>
      <c r="HN81" s="732"/>
      <c r="HO81" s="732"/>
      <c r="HP81" s="732"/>
      <c r="HQ81" s="732"/>
      <c r="HR81" s="732"/>
      <c r="HS81" s="732"/>
      <c r="HT81" s="732"/>
      <c r="HU81" s="732"/>
      <c r="HV81" s="732"/>
      <c r="HW81" s="732"/>
      <c r="HX81" s="732"/>
      <c r="HY81" s="732"/>
      <c r="HZ81" s="732"/>
      <c r="IA81" s="732"/>
      <c r="IB81" s="732"/>
      <c r="IC81" s="732"/>
      <c r="ID81" s="732"/>
      <c r="IE81" s="732"/>
      <c r="IF81" s="732"/>
      <c r="IG81" s="732"/>
      <c r="IH81" s="732"/>
      <c r="II81" s="732"/>
      <c r="IJ81" s="732"/>
      <c r="IK81" s="732"/>
      <c r="IL81" s="732"/>
      <c r="IM81" s="732"/>
      <c r="IN81" s="732"/>
      <c r="IO81" s="732"/>
      <c r="IP81" s="732"/>
      <c r="IQ81" s="732"/>
      <c r="IR81" s="732"/>
      <c r="IS81" s="732"/>
    </row>
    <row r="82" s="563" customFormat="1" ht="15" spans="1:253">
      <c r="A82" s="719" t="s">
        <v>64</v>
      </c>
      <c r="B82" s="657" t="s">
        <v>142</v>
      </c>
      <c r="C82" s="698" t="s">
        <v>118</v>
      </c>
      <c r="D82" s="716" t="s">
        <v>23</v>
      </c>
      <c r="E82" s="720">
        <f>E81</f>
        <v>9.7</v>
      </c>
      <c r="F82" s="694">
        <f>F71</f>
        <v>143.94</v>
      </c>
      <c r="G82" s="694">
        <f t="shared" ref="G82:G143" si="5">ROUND(E82*F82,2)</f>
        <v>1396.22</v>
      </c>
      <c r="H82" s="711"/>
      <c r="I82" s="711"/>
      <c r="J82" s="711"/>
      <c r="K82" s="711"/>
      <c r="L82" s="711"/>
      <c r="M82" s="695">
        <f>$F$432</f>
        <v>997182.95</v>
      </c>
      <c r="N82" s="729"/>
      <c r="O82" s="729"/>
      <c r="P82" s="729"/>
      <c r="Q82" s="729"/>
      <c r="R82" s="729"/>
      <c r="S82" s="729"/>
      <c r="T82" s="729"/>
      <c r="U82" s="729"/>
      <c r="V82" s="729"/>
      <c r="W82" s="729"/>
      <c r="X82" s="729"/>
      <c r="Y82" s="729"/>
      <c r="Z82" s="729"/>
      <c r="AA82" s="729"/>
      <c r="AB82" s="729"/>
      <c r="AC82" s="729"/>
      <c r="AD82" s="729"/>
      <c r="AE82" s="729"/>
      <c r="AF82" s="729"/>
      <c r="AG82" s="729"/>
      <c r="AH82" s="729"/>
      <c r="AI82" s="729"/>
      <c r="AJ82" s="729"/>
      <c r="AK82" s="729"/>
      <c r="AL82" s="729"/>
      <c r="AM82" s="729"/>
      <c r="AN82" s="729"/>
      <c r="AO82" s="729"/>
      <c r="AP82" s="729"/>
      <c r="AQ82" s="729"/>
      <c r="AR82" s="729"/>
      <c r="AS82" s="729"/>
      <c r="AT82" s="729"/>
      <c r="AU82" s="729"/>
      <c r="AV82" s="729"/>
      <c r="AW82" s="729"/>
      <c r="AX82" s="729"/>
      <c r="AY82" s="729"/>
      <c r="AZ82" s="729"/>
      <c r="BA82" s="729"/>
      <c r="BB82" s="729"/>
      <c r="BC82" s="729"/>
      <c r="BD82" s="729"/>
      <c r="BE82" s="729"/>
      <c r="BF82" s="729"/>
      <c r="BG82" s="729"/>
      <c r="BH82" s="729"/>
      <c r="BI82" s="729"/>
      <c r="BJ82" s="729"/>
      <c r="BK82" s="729"/>
      <c r="BL82" s="729"/>
      <c r="BM82" s="729"/>
      <c r="BN82" s="729"/>
      <c r="BO82" s="729"/>
      <c r="BP82" s="729"/>
      <c r="BQ82" s="729"/>
      <c r="BR82" s="729"/>
      <c r="BS82" s="729"/>
      <c r="BT82" s="729"/>
      <c r="BU82" s="729"/>
      <c r="BV82" s="729"/>
      <c r="BW82" s="732"/>
      <c r="BX82" s="732"/>
      <c r="BY82" s="732"/>
      <c r="BZ82" s="732"/>
      <c r="CA82" s="732"/>
      <c r="CB82" s="732"/>
      <c r="CC82" s="732"/>
      <c r="CD82" s="732"/>
      <c r="CE82" s="732"/>
      <c r="CF82" s="732"/>
      <c r="CG82" s="732"/>
      <c r="CH82" s="732"/>
      <c r="CI82" s="732"/>
      <c r="CJ82" s="732"/>
      <c r="CK82" s="732"/>
      <c r="CL82" s="732"/>
      <c r="CM82" s="732"/>
      <c r="CN82" s="732"/>
      <c r="CO82" s="732"/>
      <c r="CP82" s="732"/>
      <c r="CQ82" s="732"/>
      <c r="CR82" s="732"/>
      <c r="CS82" s="732"/>
      <c r="CT82" s="732"/>
      <c r="CU82" s="732"/>
      <c r="CV82" s="732"/>
      <c r="CW82" s="732"/>
      <c r="CX82" s="732"/>
      <c r="CY82" s="732"/>
      <c r="CZ82" s="732"/>
      <c r="DA82" s="732"/>
      <c r="DB82" s="732"/>
      <c r="DC82" s="732"/>
      <c r="DD82" s="732"/>
      <c r="DE82" s="732"/>
      <c r="DF82" s="732"/>
      <c r="DG82" s="732"/>
      <c r="DH82" s="732"/>
      <c r="DI82" s="732"/>
      <c r="DJ82" s="732"/>
      <c r="DK82" s="732"/>
      <c r="DL82" s="732"/>
      <c r="DM82" s="732"/>
      <c r="DN82" s="732"/>
      <c r="DO82" s="732"/>
      <c r="DP82" s="732"/>
      <c r="DQ82" s="732"/>
      <c r="DR82" s="732"/>
      <c r="DS82" s="732"/>
      <c r="DT82" s="732"/>
      <c r="DU82" s="732"/>
      <c r="DV82" s="732"/>
      <c r="DW82" s="732"/>
      <c r="DX82" s="732"/>
      <c r="DY82" s="732"/>
      <c r="DZ82" s="732"/>
      <c r="EA82" s="732"/>
      <c r="EB82" s="732"/>
      <c r="EC82" s="732"/>
      <c r="ED82" s="732"/>
      <c r="EE82" s="732"/>
      <c r="EF82" s="732"/>
      <c r="EG82" s="732"/>
      <c r="EH82" s="732"/>
      <c r="EI82" s="732"/>
      <c r="EJ82" s="732"/>
      <c r="EK82" s="732"/>
      <c r="EL82" s="732"/>
      <c r="EM82" s="732"/>
      <c r="EN82" s="732"/>
      <c r="EO82" s="732"/>
      <c r="EP82" s="732"/>
      <c r="EQ82" s="732"/>
      <c r="ER82" s="732"/>
      <c r="ES82" s="732"/>
      <c r="ET82" s="732"/>
      <c r="EU82" s="732"/>
      <c r="EV82" s="732"/>
      <c r="EW82" s="732"/>
      <c r="EX82" s="732"/>
      <c r="EY82" s="732"/>
      <c r="EZ82" s="732"/>
      <c r="FA82" s="732"/>
      <c r="FB82" s="732"/>
      <c r="FC82" s="732"/>
      <c r="FD82" s="732"/>
      <c r="FE82" s="732"/>
      <c r="FF82" s="732"/>
      <c r="FG82" s="732"/>
      <c r="FH82" s="732"/>
      <c r="FI82" s="732"/>
      <c r="FJ82" s="732"/>
      <c r="FK82" s="732"/>
      <c r="FL82" s="732"/>
      <c r="FM82" s="732"/>
      <c r="FN82" s="732"/>
      <c r="FO82" s="732"/>
      <c r="FP82" s="732"/>
      <c r="FQ82" s="732"/>
      <c r="FR82" s="732"/>
      <c r="FS82" s="732"/>
      <c r="FT82" s="732"/>
      <c r="FU82" s="732"/>
      <c r="FV82" s="732"/>
      <c r="FW82" s="732"/>
      <c r="FX82" s="732"/>
      <c r="FY82" s="732"/>
      <c r="FZ82" s="732"/>
      <c r="GA82" s="732"/>
      <c r="GB82" s="732"/>
      <c r="GC82" s="732"/>
      <c r="GD82" s="732"/>
      <c r="GE82" s="732"/>
      <c r="GF82" s="732"/>
      <c r="GG82" s="732"/>
      <c r="GH82" s="732"/>
      <c r="GI82" s="732"/>
      <c r="GJ82" s="732"/>
      <c r="GK82" s="732"/>
      <c r="GL82" s="732"/>
      <c r="GM82" s="732"/>
      <c r="GN82" s="732"/>
      <c r="GO82" s="732"/>
      <c r="GP82" s="732"/>
      <c r="GQ82" s="732"/>
      <c r="GR82" s="732"/>
      <c r="GS82" s="732"/>
      <c r="GT82" s="732"/>
      <c r="GU82" s="732"/>
      <c r="GV82" s="732"/>
      <c r="GW82" s="732"/>
      <c r="GX82" s="732"/>
      <c r="GY82" s="732"/>
      <c r="GZ82" s="732"/>
      <c r="HA82" s="732"/>
      <c r="HB82" s="732"/>
      <c r="HC82" s="732"/>
      <c r="HD82" s="732"/>
      <c r="HE82" s="732"/>
      <c r="HF82" s="732"/>
      <c r="HG82" s="732"/>
      <c r="HH82" s="732"/>
      <c r="HI82" s="732"/>
      <c r="HJ82" s="732"/>
      <c r="HK82" s="732"/>
      <c r="HL82" s="732"/>
      <c r="HM82" s="732"/>
      <c r="HN82" s="732"/>
      <c r="HO82" s="732"/>
      <c r="HP82" s="732"/>
      <c r="HQ82" s="732"/>
      <c r="HR82" s="732"/>
      <c r="HS82" s="732"/>
      <c r="HT82" s="732"/>
      <c r="HU82" s="732"/>
      <c r="HV82" s="732"/>
      <c r="HW82" s="732"/>
      <c r="HX82" s="732"/>
      <c r="HY82" s="732"/>
      <c r="HZ82" s="732"/>
      <c r="IA82" s="732"/>
      <c r="IB82" s="732"/>
      <c r="IC82" s="732"/>
      <c r="ID82" s="732"/>
      <c r="IE82" s="732"/>
      <c r="IF82" s="732"/>
      <c r="IG82" s="732"/>
      <c r="IH82" s="732"/>
      <c r="II82" s="732"/>
      <c r="IJ82" s="732"/>
      <c r="IK82" s="732"/>
      <c r="IL82" s="732"/>
      <c r="IM82" s="732"/>
      <c r="IN82" s="732"/>
      <c r="IO82" s="732"/>
      <c r="IP82" s="732"/>
      <c r="IQ82" s="732"/>
      <c r="IR82" s="732"/>
      <c r="IS82" s="732"/>
    </row>
    <row r="83" s="563" customFormat="1" ht="15" spans="1:253">
      <c r="A83" s="719" t="s">
        <v>119</v>
      </c>
      <c r="B83" s="657" t="s">
        <v>143</v>
      </c>
      <c r="C83" s="698" t="s">
        <v>144</v>
      </c>
      <c r="D83" s="716" t="s">
        <v>17</v>
      </c>
      <c r="E83" s="720">
        <f>'PB VI - Memorial'!C103</f>
        <v>157.28</v>
      </c>
      <c r="F83" s="694">
        <v>29.91</v>
      </c>
      <c r="G83" s="694">
        <f t="shared" si="5"/>
        <v>4704.24</v>
      </c>
      <c r="H83" s="711"/>
      <c r="I83" s="711"/>
      <c r="J83" s="711"/>
      <c r="K83" s="711"/>
      <c r="L83" s="711"/>
      <c r="M83" s="695">
        <f>$F$432</f>
        <v>997182.95</v>
      </c>
      <c r="N83" s="729"/>
      <c r="O83" s="729"/>
      <c r="P83" s="729"/>
      <c r="Q83" s="729"/>
      <c r="R83" s="729"/>
      <c r="S83" s="729"/>
      <c r="T83" s="729"/>
      <c r="U83" s="729"/>
      <c r="V83" s="729"/>
      <c r="W83" s="729"/>
      <c r="X83" s="729"/>
      <c r="Y83" s="729"/>
      <c r="Z83" s="729"/>
      <c r="AA83" s="729"/>
      <c r="AB83" s="729"/>
      <c r="AC83" s="729"/>
      <c r="AD83" s="729"/>
      <c r="AE83" s="729"/>
      <c r="AF83" s="729"/>
      <c r="AG83" s="729"/>
      <c r="AH83" s="729"/>
      <c r="AI83" s="729"/>
      <c r="AJ83" s="729"/>
      <c r="AK83" s="729"/>
      <c r="AL83" s="729"/>
      <c r="AM83" s="729"/>
      <c r="AN83" s="729"/>
      <c r="AO83" s="729"/>
      <c r="AP83" s="729"/>
      <c r="AQ83" s="729"/>
      <c r="AR83" s="729"/>
      <c r="AS83" s="729"/>
      <c r="AT83" s="729"/>
      <c r="AU83" s="729"/>
      <c r="AV83" s="729"/>
      <c r="AW83" s="729"/>
      <c r="AX83" s="729"/>
      <c r="AY83" s="729"/>
      <c r="AZ83" s="729"/>
      <c r="BA83" s="729"/>
      <c r="BB83" s="729"/>
      <c r="BC83" s="729"/>
      <c r="BD83" s="729"/>
      <c r="BE83" s="729"/>
      <c r="BF83" s="729"/>
      <c r="BG83" s="729"/>
      <c r="BH83" s="729"/>
      <c r="BI83" s="729"/>
      <c r="BJ83" s="729"/>
      <c r="BK83" s="729"/>
      <c r="BL83" s="729"/>
      <c r="BM83" s="729"/>
      <c r="BN83" s="729"/>
      <c r="BO83" s="729"/>
      <c r="BP83" s="729"/>
      <c r="BQ83" s="729"/>
      <c r="BR83" s="729"/>
      <c r="BS83" s="729"/>
      <c r="BT83" s="729"/>
      <c r="BU83" s="729"/>
      <c r="BV83" s="729"/>
      <c r="BW83" s="732"/>
      <c r="BX83" s="732"/>
      <c r="BY83" s="732"/>
      <c r="BZ83" s="732"/>
      <c r="CA83" s="732"/>
      <c r="CB83" s="732"/>
      <c r="CC83" s="732"/>
      <c r="CD83" s="732"/>
      <c r="CE83" s="732"/>
      <c r="CF83" s="732"/>
      <c r="CG83" s="732"/>
      <c r="CH83" s="732"/>
      <c r="CI83" s="732"/>
      <c r="CJ83" s="732"/>
      <c r="CK83" s="732"/>
      <c r="CL83" s="732"/>
      <c r="CM83" s="732"/>
      <c r="CN83" s="732"/>
      <c r="CO83" s="732"/>
      <c r="CP83" s="732"/>
      <c r="CQ83" s="732"/>
      <c r="CR83" s="732"/>
      <c r="CS83" s="732"/>
      <c r="CT83" s="732"/>
      <c r="CU83" s="732"/>
      <c r="CV83" s="732"/>
      <c r="CW83" s="732"/>
      <c r="CX83" s="732"/>
      <c r="CY83" s="732"/>
      <c r="CZ83" s="732"/>
      <c r="DA83" s="732"/>
      <c r="DB83" s="732"/>
      <c r="DC83" s="732"/>
      <c r="DD83" s="732"/>
      <c r="DE83" s="732"/>
      <c r="DF83" s="732"/>
      <c r="DG83" s="732"/>
      <c r="DH83" s="732"/>
      <c r="DI83" s="732"/>
      <c r="DJ83" s="732"/>
      <c r="DK83" s="732"/>
      <c r="DL83" s="732"/>
      <c r="DM83" s="732"/>
      <c r="DN83" s="732"/>
      <c r="DO83" s="732"/>
      <c r="DP83" s="732"/>
      <c r="DQ83" s="732"/>
      <c r="DR83" s="732"/>
      <c r="DS83" s="732"/>
      <c r="DT83" s="732"/>
      <c r="DU83" s="732"/>
      <c r="DV83" s="732"/>
      <c r="DW83" s="732"/>
      <c r="DX83" s="732"/>
      <c r="DY83" s="732"/>
      <c r="DZ83" s="732"/>
      <c r="EA83" s="732"/>
      <c r="EB83" s="732"/>
      <c r="EC83" s="732"/>
      <c r="ED83" s="732"/>
      <c r="EE83" s="732"/>
      <c r="EF83" s="732"/>
      <c r="EG83" s="732"/>
      <c r="EH83" s="732"/>
      <c r="EI83" s="732"/>
      <c r="EJ83" s="732"/>
      <c r="EK83" s="732"/>
      <c r="EL83" s="732"/>
      <c r="EM83" s="732"/>
      <c r="EN83" s="732"/>
      <c r="EO83" s="732"/>
      <c r="EP83" s="732"/>
      <c r="EQ83" s="732"/>
      <c r="ER83" s="732"/>
      <c r="ES83" s="732"/>
      <c r="ET83" s="732"/>
      <c r="EU83" s="732"/>
      <c r="EV83" s="732"/>
      <c r="EW83" s="732"/>
      <c r="EX83" s="732"/>
      <c r="EY83" s="732"/>
      <c r="EZ83" s="732"/>
      <c r="FA83" s="732"/>
      <c r="FB83" s="732"/>
      <c r="FC83" s="732"/>
      <c r="FD83" s="732"/>
      <c r="FE83" s="732"/>
      <c r="FF83" s="732"/>
      <c r="FG83" s="732"/>
      <c r="FH83" s="732"/>
      <c r="FI83" s="732"/>
      <c r="FJ83" s="732"/>
      <c r="FK83" s="732"/>
      <c r="FL83" s="732"/>
      <c r="FM83" s="732"/>
      <c r="FN83" s="732"/>
      <c r="FO83" s="732"/>
      <c r="FP83" s="732"/>
      <c r="FQ83" s="732"/>
      <c r="FR83" s="732"/>
      <c r="FS83" s="732"/>
      <c r="FT83" s="732"/>
      <c r="FU83" s="732"/>
      <c r="FV83" s="732"/>
      <c r="FW83" s="732"/>
      <c r="FX83" s="732"/>
      <c r="FY83" s="732"/>
      <c r="FZ83" s="732"/>
      <c r="GA83" s="732"/>
      <c r="GB83" s="732"/>
      <c r="GC83" s="732"/>
      <c r="GD83" s="732"/>
      <c r="GE83" s="732"/>
      <c r="GF83" s="732"/>
      <c r="GG83" s="732"/>
      <c r="GH83" s="732"/>
      <c r="GI83" s="732"/>
      <c r="GJ83" s="732"/>
      <c r="GK83" s="732"/>
      <c r="GL83" s="732"/>
      <c r="GM83" s="732"/>
      <c r="GN83" s="732"/>
      <c r="GO83" s="732"/>
      <c r="GP83" s="732"/>
      <c r="GQ83" s="732"/>
      <c r="GR83" s="732"/>
      <c r="GS83" s="732"/>
      <c r="GT83" s="732"/>
      <c r="GU83" s="732"/>
      <c r="GV83" s="732"/>
      <c r="GW83" s="732"/>
      <c r="GX83" s="732"/>
      <c r="GY83" s="732"/>
      <c r="GZ83" s="732"/>
      <c r="HA83" s="732"/>
      <c r="HB83" s="732"/>
      <c r="HC83" s="732"/>
      <c r="HD83" s="732"/>
      <c r="HE83" s="732"/>
      <c r="HF83" s="732"/>
      <c r="HG83" s="732"/>
      <c r="HH83" s="732"/>
      <c r="HI83" s="732"/>
      <c r="HJ83" s="732"/>
      <c r="HK83" s="732"/>
      <c r="HL83" s="732"/>
      <c r="HM83" s="732"/>
      <c r="HN83" s="732"/>
      <c r="HO83" s="732"/>
      <c r="HP83" s="732"/>
      <c r="HQ83" s="732"/>
      <c r="HR83" s="732"/>
      <c r="HS83" s="732"/>
      <c r="HT83" s="732"/>
      <c r="HU83" s="732"/>
      <c r="HV83" s="732"/>
      <c r="HW83" s="732"/>
      <c r="HX83" s="732"/>
      <c r="HY83" s="732"/>
      <c r="HZ83" s="732"/>
      <c r="IA83" s="732"/>
      <c r="IB83" s="732"/>
      <c r="IC83" s="732"/>
      <c r="ID83" s="732"/>
      <c r="IE83" s="732"/>
      <c r="IF83" s="732"/>
      <c r="IG83" s="732"/>
      <c r="IH83" s="732"/>
      <c r="II83" s="732"/>
      <c r="IJ83" s="732"/>
      <c r="IK83" s="732"/>
      <c r="IL83" s="732"/>
      <c r="IM83" s="732"/>
      <c r="IN83" s="732"/>
      <c r="IO83" s="732"/>
      <c r="IP83" s="732"/>
      <c r="IQ83" s="732"/>
      <c r="IR83" s="732"/>
      <c r="IS83" s="732"/>
    </row>
    <row r="84" s="627" customFormat="1" ht="15" spans="1:253">
      <c r="A84" s="719" t="s">
        <v>145</v>
      </c>
      <c r="B84" s="657" t="s">
        <v>146</v>
      </c>
      <c r="C84" s="698" t="s">
        <v>147</v>
      </c>
      <c r="D84" s="716" t="s">
        <v>69</v>
      </c>
      <c r="E84" s="720">
        <f>'PB VI - Memorial'!B105</f>
        <v>0.36</v>
      </c>
      <c r="F84" s="694">
        <v>11.92</v>
      </c>
      <c r="G84" s="694">
        <f t="shared" ref="G84" si="6">ROUND(E84*F84,2)</f>
        <v>4.29</v>
      </c>
      <c r="H84" s="711"/>
      <c r="I84" s="711"/>
      <c r="J84" s="711"/>
      <c r="K84" s="711"/>
      <c r="L84" s="730"/>
      <c r="M84" s="695">
        <f>$F$432</f>
        <v>997182.95</v>
      </c>
      <c r="N84" s="731"/>
      <c r="O84" s="731"/>
      <c r="P84" s="731"/>
      <c r="Q84" s="731"/>
      <c r="R84" s="731"/>
      <c r="S84" s="731"/>
      <c r="T84" s="731"/>
      <c r="U84" s="731"/>
      <c r="V84" s="731"/>
      <c r="W84" s="731"/>
      <c r="X84" s="731"/>
      <c r="Y84" s="731"/>
      <c r="Z84" s="731"/>
      <c r="AA84" s="731"/>
      <c r="AB84" s="731"/>
      <c r="AC84" s="731"/>
      <c r="AD84" s="731"/>
      <c r="AE84" s="731"/>
      <c r="AF84" s="731"/>
      <c r="AG84" s="731"/>
      <c r="AH84" s="731"/>
      <c r="AI84" s="731"/>
      <c r="AJ84" s="731"/>
      <c r="AK84" s="731"/>
      <c r="AL84" s="731"/>
      <c r="AM84" s="731"/>
      <c r="AN84" s="731"/>
      <c r="AO84" s="731"/>
      <c r="AP84" s="731"/>
      <c r="AQ84" s="731"/>
      <c r="AR84" s="731"/>
      <c r="AS84" s="731"/>
      <c r="AT84" s="731"/>
      <c r="AU84" s="731"/>
      <c r="AV84" s="731"/>
      <c r="AW84" s="731"/>
      <c r="AX84" s="731"/>
      <c r="AY84" s="731"/>
      <c r="AZ84" s="731"/>
      <c r="BA84" s="731"/>
      <c r="BB84" s="731"/>
      <c r="BC84" s="731"/>
      <c r="BD84" s="731"/>
      <c r="BE84" s="731"/>
      <c r="BF84" s="731"/>
      <c r="BG84" s="731"/>
      <c r="BH84" s="731"/>
      <c r="BI84" s="731"/>
      <c r="BJ84" s="731"/>
      <c r="BK84" s="731"/>
      <c r="BL84" s="731"/>
      <c r="BM84" s="731"/>
      <c r="BN84" s="731"/>
      <c r="BO84" s="731"/>
      <c r="BP84" s="731"/>
      <c r="BQ84" s="731"/>
      <c r="BR84" s="731"/>
      <c r="BS84" s="731"/>
      <c r="BT84" s="731"/>
      <c r="BU84" s="731"/>
      <c r="BV84" s="731"/>
      <c r="BW84" s="731"/>
      <c r="BX84" s="731"/>
      <c r="BY84" s="731"/>
      <c r="BZ84" s="731"/>
      <c r="CA84" s="731"/>
      <c r="CB84" s="731"/>
      <c r="CC84" s="731"/>
      <c r="CD84" s="731"/>
      <c r="CE84" s="731"/>
      <c r="CF84" s="731"/>
      <c r="CG84" s="731"/>
      <c r="CH84" s="731"/>
      <c r="CI84" s="731"/>
      <c r="CJ84" s="731"/>
      <c r="CK84" s="731"/>
      <c r="CL84" s="731"/>
      <c r="CM84" s="731"/>
      <c r="CN84" s="731"/>
      <c r="CO84" s="731"/>
      <c r="CP84" s="731"/>
      <c r="CQ84" s="731"/>
      <c r="CR84" s="731"/>
      <c r="CS84" s="731"/>
      <c r="CT84" s="731"/>
      <c r="CU84" s="731"/>
      <c r="CV84" s="731"/>
      <c r="CW84" s="731"/>
      <c r="CX84" s="731"/>
      <c r="CY84" s="731"/>
      <c r="CZ84" s="731"/>
      <c r="DA84" s="731"/>
      <c r="DB84" s="731"/>
      <c r="DC84" s="731"/>
      <c r="DD84" s="731"/>
      <c r="DE84" s="731"/>
      <c r="DF84" s="731"/>
      <c r="DG84" s="731"/>
      <c r="DH84" s="731"/>
      <c r="DI84" s="731"/>
      <c r="DJ84" s="731"/>
      <c r="DK84" s="731"/>
      <c r="DL84" s="731"/>
      <c r="DM84" s="731"/>
      <c r="DN84" s="731"/>
      <c r="DO84" s="731"/>
      <c r="DP84" s="731"/>
      <c r="DQ84" s="731"/>
      <c r="DR84" s="731"/>
      <c r="DS84" s="731"/>
      <c r="DT84" s="731"/>
      <c r="DU84" s="731"/>
      <c r="DV84" s="731"/>
      <c r="DW84" s="731"/>
      <c r="DX84" s="731"/>
      <c r="DY84" s="731"/>
      <c r="DZ84" s="731"/>
      <c r="EA84" s="731"/>
      <c r="EB84" s="731"/>
      <c r="EC84" s="731"/>
      <c r="ED84" s="731"/>
      <c r="EE84" s="731"/>
      <c r="EF84" s="731"/>
      <c r="EG84" s="731"/>
      <c r="EH84" s="731"/>
      <c r="EI84" s="731"/>
      <c r="EJ84" s="731"/>
      <c r="EK84" s="731"/>
      <c r="EL84" s="731"/>
      <c r="EM84" s="731"/>
      <c r="EN84" s="731"/>
      <c r="EO84" s="731"/>
      <c r="EP84" s="731"/>
      <c r="EQ84" s="731"/>
      <c r="ER84" s="731"/>
      <c r="ES84" s="731"/>
      <c r="ET84" s="731"/>
      <c r="EU84" s="731"/>
      <c r="EV84" s="731"/>
      <c r="EW84" s="731"/>
      <c r="EX84" s="731"/>
      <c r="EY84" s="731"/>
      <c r="EZ84" s="731"/>
      <c r="FA84" s="731"/>
      <c r="FB84" s="731"/>
      <c r="FC84" s="731"/>
      <c r="FD84" s="731"/>
      <c r="FE84" s="731"/>
      <c r="FF84" s="731"/>
      <c r="FG84" s="731"/>
      <c r="FH84" s="731"/>
      <c r="FI84" s="731"/>
      <c r="FJ84" s="731"/>
      <c r="FK84" s="731"/>
      <c r="FL84" s="731"/>
      <c r="FM84" s="731"/>
      <c r="FN84" s="731"/>
      <c r="FO84" s="731"/>
      <c r="FP84" s="731"/>
      <c r="FQ84" s="731"/>
      <c r="FR84" s="731"/>
      <c r="FS84" s="731"/>
      <c r="FT84" s="731"/>
      <c r="FU84" s="731"/>
      <c r="FV84" s="731"/>
      <c r="FW84" s="731"/>
      <c r="FX84" s="731"/>
      <c r="FY84" s="731"/>
      <c r="FZ84" s="731"/>
      <c r="GA84" s="731"/>
      <c r="GB84" s="731"/>
      <c r="GC84" s="731"/>
      <c r="GD84" s="731"/>
      <c r="GE84" s="731"/>
      <c r="GF84" s="731"/>
      <c r="GG84" s="731"/>
      <c r="GH84" s="731"/>
      <c r="GI84" s="731"/>
      <c r="GJ84" s="731"/>
      <c r="GK84" s="731"/>
      <c r="GL84" s="731"/>
      <c r="GM84" s="731"/>
      <c r="GN84" s="731"/>
      <c r="GO84" s="731"/>
      <c r="GP84" s="731"/>
      <c r="GQ84" s="731"/>
      <c r="GR84" s="731"/>
      <c r="GS84" s="731"/>
      <c r="GT84" s="731"/>
      <c r="GU84" s="731"/>
      <c r="GV84" s="731"/>
      <c r="GW84" s="731"/>
      <c r="GX84" s="731"/>
      <c r="GY84" s="731"/>
      <c r="GZ84" s="731"/>
      <c r="HA84" s="731"/>
      <c r="HB84" s="731"/>
      <c r="HC84" s="731"/>
      <c r="HD84" s="731"/>
      <c r="HE84" s="731"/>
      <c r="HF84" s="731"/>
      <c r="HG84" s="731"/>
      <c r="HH84" s="731"/>
      <c r="HI84" s="731"/>
      <c r="HJ84" s="731"/>
      <c r="HK84" s="731"/>
      <c r="HL84" s="731"/>
      <c r="HM84" s="731"/>
      <c r="HN84" s="731"/>
      <c r="HO84" s="731"/>
      <c r="HP84" s="731"/>
      <c r="HQ84" s="731"/>
      <c r="HR84" s="731"/>
      <c r="HS84" s="731"/>
      <c r="HT84" s="731"/>
      <c r="HU84" s="731"/>
      <c r="HV84" s="731"/>
      <c r="HW84" s="731"/>
      <c r="HX84" s="731"/>
      <c r="HY84" s="731"/>
      <c r="HZ84" s="731"/>
      <c r="IA84" s="731"/>
      <c r="IB84" s="731"/>
      <c r="IC84" s="731"/>
      <c r="ID84" s="731"/>
      <c r="IE84" s="731"/>
      <c r="IF84" s="731"/>
      <c r="IG84" s="731"/>
      <c r="IH84" s="731"/>
      <c r="II84" s="731"/>
      <c r="IJ84" s="731"/>
      <c r="IK84" s="731"/>
      <c r="IL84" s="731"/>
      <c r="IM84" s="731"/>
      <c r="IN84" s="731"/>
      <c r="IO84" s="731"/>
      <c r="IP84" s="731"/>
      <c r="IQ84" s="731"/>
      <c r="IR84" s="731"/>
      <c r="IS84" s="731"/>
    </row>
    <row r="85" s="563" customFormat="1" ht="15" spans="1:253">
      <c r="A85" s="719" t="s">
        <v>148</v>
      </c>
      <c r="B85" s="657" t="s">
        <v>149</v>
      </c>
      <c r="C85" s="698" t="s">
        <v>150</v>
      </c>
      <c r="D85" s="716" t="s">
        <v>69</v>
      </c>
      <c r="E85" s="720">
        <f>'PB VI - Memorial'!C105</f>
        <v>268.36</v>
      </c>
      <c r="F85" s="694">
        <v>11.16</v>
      </c>
      <c r="G85" s="694">
        <f t="shared" si="5"/>
        <v>2994.9</v>
      </c>
      <c r="H85" s="711"/>
      <c r="I85" s="711"/>
      <c r="J85" s="711"/>
      <c r="K85" s="711"/>
      <c r="L85" s="711"/>
      <c r="M85" s="695">
        <f t="shared" ref="M85:M90" si="7">$F$432</f>
        <v>997182.95</v>
      </c>
      <c r="N85" s="729"/>
      <c r="O85" s="729"/>
      <c r="P85" s="729"/>
      <c r="Q85" s="729"/>
      <c r="R85" s="729"/>
      <c r="S85" s="729"/>
      <c r="T85" s="729"/>
      <c r="U85" s="729"/>
      <c r="V85" s="729"/>
      <c r="W85" s="729"/>
      <c r="X85" s="729"/>
      <c r="Y85" s="729"/>
      <c r="Z85" s="729"/>
      <c r="AA85" s="729"/>
      <c r="AB85" s="729"/>
      <c r="AC85" s="729"/>
      <c r="AD85" s="729"/>
      <c r="AE85" s="729"/>
      <c r="AF85" s="729"/>
      <c r="AG85" s="729"/>
      <c r="AH85" s="729"/>
      <c r="AI85" s="729"/>
      <c r="AJ85" s="729"/>
      <c r="AK85" s="729"/>
      <c r="AL85" s="729"/>
      <c r="AM85" s="729"/>
      <c r="AN85" s="729"/>
      <c r="AO85" s="729"/>
      <c r="AP85" s="729"/>
      <c r="AQ85" s="729"/>
      <c r="AR85" s="729"/>
      <c r="AS85" s="729"/>
      <c r="AT85" s="729"/>
      <c r="AU85" s="729"/>
      <c r="AV85" s="729"/>
      <c r="AW85" s="729"/>
      <c r="AX85" s="729"/>
      <c r="AY85" s="729"/>
      <c r="AZ85" s="729"/>
      <c r="BA85" s="729"/>
      <c r="BB85" s="729"/>
      <c r="BC85" s="729"/>
      <c r="BD85" s="729"/>
      <c r="BE85" s="729"/>
      <c r="BF85" s="729"/>
      <c r="BG85" s="729"/>
      <c r="BH85" s="729"/>
      <c r="BI85" s="729"/>
      <c r="BJ85" s="729"/>
      <c r="BK85" s="729"/>
      <c r="BL85" s="729"/>
      <c r="BM85" s="729"/>
      <c r="BN85" s="729"/>
      <c r="BO85" s="729"/>
      <c r="BP85" s="729"/>
      <c r="BQ85" s="729"/>
      <c r="BR85" s="729"/>
      <c r="BS85" s="729"/>
      <c r="BT85" s="729"/>
      <c r="BU85" s="729"/>
      <c r="BV85" s="729"/>
      <c r="BW85" s="732"/>
      <c r="BX85" s="732"/>
      <c r="BY85" s="732"/>
      <c r="BZ85" s="732"/>
      <c r="CA85" s="732"/>
      <c r="CB85" s="732"/>
      <c r="CC85" s="732"/>
      <c r="CD85" s="732"/>
      <c r="CE85" s="732"/>
      <c r="CF85" s="732"/>
      <c r="CG85" s="732"/>
      <c r="CH85" s="732"/>
      <c r="CI85" s="732"/>
      <c r="CJ85" s="732"/>
      <c r="CK85" s="732"/>
      <c r="CL85" s="732"/>
      <c r="CM85" s="732"/>
      <c r="CN85" s="732"/>
      <c r="CO85" s="732"/>
      <c r="CP85" s="732"/>
      <c r="CQ85" s="732"/>
      <c r="CR85" s="732"/>
      <c r="CS85" s="732"/>
      <c r="CT85" s="732"/>
      <c r="CU85" s="732"/>
      <c r="CV85" s="732"/>
      <c r="CW85" s="732"/>
      <c r="CX85" s="732"/>
      <c r="CY85" s="732"/>
      <c r="CZ85" s="732"/>
      <c r="DA85" s="732"/>
      <c r="DB85" s="732"/>
      <c r="DC85" s="732"/>
      <c r="DD85" s="732"/>
      <c r="DE85" s="732"/>
      <c r="DF85" s="732"/>
      <c r="DG85" s="732"/>
      <c r="DH85" s="732"/>
      <c r="DI85" s="732"/>
      <c r="DJ85" s="732"/>
      <c r="DK85" s="732"/>
      <c r="DL85" s="732"/>
      <c r="DM85" s="732"/>
      <c r="DN85" s="732"/>
      <c r="DO85" s="732"/>
      <c r="DP85" s="732"/>
      <c r="DQ85" s="732"/>
      <c r="DR85" s="732"/>
      <c r="DS85" s="732"/>
      <c r="DT85" s="732"/>
      <c r="DU85" s="732"/>
      <c r="DV85" s="732"/>
      <c r="DW85" s="732"/>
      <c r="DX85" s="732"/>
      <c r="DY85" s="732"/>
      <c r="DZ85" s="732"/>
      <c r="EA85" s="732"/>
      <c r="EB85" s="732"/>
      <c r="EC85" s="732"/>
      <c r="ED85" s="732"/>
      <c r="EE85" s="732"/>
      <c r="EF85" s="732"/>
      <c r="EG85" s="732"/>
      <c r="EH85" s="732"/>
      <c r="EI85" s="732"/>
      <c r="EJ85" s="732"/>
      <c r="EK85" s="732"/>
      <c r="EL85" s="732"/>
      <c r="EM85" s="732"/>
      <c r="EN85" s="732"/>
      <c r="EO85" s="732"/>
      <c r="EP85" s="732"/>
      <c r="EQ85" s="732"/>
      <c r="ER85" s="732"/>
      <c r="ES85" s="732"/>
      <c r="ET85" s="732"/>
      <c r="EU85" s="732"/>
      <c r="EV85" s="732"/>
      <c r="EW85" s="732"/>
      <c r="EX85" s="732"/>
      <c r="EY85" s="732"/>
      <c r="EZ85" s="732"/>
      <c r="FA85" s="732"/>
      <c r="FB85" s="732"/>
      <c r="FC85" s="732"/>
      <c r="FD85" s="732"/>
      <c r="FE85" s="732"/>
      <c r="FF85" s="732"/>
      <c r="FG85" s="732"/>
      <c r="FH85" s="732"/>
      <c r="FI85" s="732"/>
      <c r="FJ85" s="732"/>
      <c r="FK85" s="732"/>
      <c r="FL85" s="732"/>
      <c r="FM85" s="732"/>
      <c r="FN85" s="732"/>
      <c r="FO85" s="732"/>
      <c r="FP85" s="732"/>
      <c r="FQ85" s="732"/>
      <c r="FR85" s="732"/>
      <c r="FS85" s="732"/>
      <c r="FT85" s="732"/>
      <c r="FU85" s="732"/>
      <c r="FV85" s="732"/>
      <c r="FW85" s="732"/>
      <c r="FX85" s="732"/>
      <c r="FY85" s="732"/>
      <c r="FZ85" s="732"/>
      <c r="GA85" s="732"/>
      <c r="GB85" s="732"/>
      <c r="GC85" s="732"/>
      <c r="GD85" s="732"/>
      <c r="GE85" s="732"/>
      <c r="GF85" s="732"/>
      <c r="GG85" s="732"/>
      <c r="GH85" s="732"/>
      <c r="GI85" s="732"/>
      <c r="GJ85" s="732"/>
      <c r="GK85" s="732"/>
      <c r="GL85" s="732"/>
      <c r="GM85" s="732"/>
      <c r="GN85" s="732"/>
      <c r="GO85" s="732"/>
      <c r="GP85" s="732"/>
      <c r="GQ85" s="732"/>
      <c r="GR85" s="732"/>
      <c r="GS85" s="732"/>
      <c r="GT85" s="732"/>
      <c r="GU85" s="732"/>
      <c r="GV85" s="732"/>
      <c r="GW85" s="732"/>
      <c r="GX85" s="732"/>
      <c r="GY85" s="732"/>
      <c r="GZ85" s="732"/>
      <c r="HA85" s="732"/>
      <c r="HB85" s="732"/>
      <c r="HC85" s="732"/>
      <c r="HD85" s="732"/>
      <c r="HE85" s="732"/>
      <c r="HF85" s="732"/>
      <c r="HG85" s="732"/>
      <c r="HH85" s="732"/>
      <c r="HI85" s="732"/>
      <c r="HJ85" s="732"/>
      <c r="HK85" s="732"/>
      <c r="HL85" s="732"/>
      <c r="HM85" s="732"/>
      <c r="HN85" s="732"/>
      <c r="HO85" s="732"/>
      <c r="HP85" s="732"/>
      <c r="HQ85" s="732"/>
      <c r="HR85" s="732"/>
      <c r="HS85" s="732"/>
      <c r="HT85" s="732"/>
      <c r="HU85" s="732"/>
      <c r="HV85" s="732"/>
      <c r="HW85" s="732"/>
      <c r="HX85" s="732"/>
      <c r="HY85" s="732"/>
      <c r="HZ85" s="732"/>
      <c r="IA85" s="732"/>
      <c r="IB85" s="732"/>
      <c r="IC85" s="732"/>
      <c r="ID85" s="732"/>
      <c r="IE85" s="732"/>
      <c r="IF85" s="732"/>
      <c r="IG85" s="732"/>
      <c r="IH85" s="732"/>
      <c r="II85" s="732"/>
      <c r="IJ85" s="732"/>
      <c r="IK85" s="732"/>
      <c r="IL85" s="732"/>
      <c r="IM85" s="732"/>
      <c r="IN85" s="732"/>
      <c r="IO85" s="732"/>
      <c r="IP85" s="732"/>
      <c r="IQ85" s="732"/>
      <c r="IR85" s="732"/>
      <c r="IS85" s="732"/>
    </row>
    <row r="86" s="563" customFormat="1" ht="15" spans="1:253">
      <c r="A86" s="719" t="s">
        <v>151</v>
      </c>
      <c r="B86" s="657" t="s">
        <v>152</v>
      </c>
      <c r="C86" s="698" t="s">
        <v>153</v>
      </c>
      <c r="D86" s="716" t="s">
        <v>69</v>
      </c>
      <c r="E86" s="720">
        <f>'PB VI - Memorial'!D105</f>
        <v>53.82</v>
      </c>
      <c r="F86" s="694">
        <v>8.97</v>
      </c>
      <c r="G86" s="694">
        <f t="shared" si="5"/>
        <v>482.77</v>
      </c>
      <c r="H86" s="711"/>
      <c r="I86" s="711"/>
      <c r="J86" s="711"/>
      <c r="K86" s="711"/>
      <c r="L86" s="711"/>
      <c r="M86" s="695">
        <f t="shared" si="7"/>
        <v>997182.95</v>
      </c>
      <c r="N86" s="729"/>
      <c r="O86" s="729"/>
      <c r="P86" s="729"/>
      <c r="Q86" s="729"/>
      <c r="R86" s="729"/>
      <c r="S86" s="729"/>
      <c r="T86" s="729"/>
      <c r="U86" s="729"/>
      <c r="V86" s="729"/>
      <c r="W86" s="729"/>
      <c r="X86" s="729"/>
      <c r="Y86" s="729"/>
      <c r="Z86" s="729"/>
      <c r="AA86" s="729"/>
      <c r="AB86" s="729"/>
      <c r="AC86" s="729"/>
      <c r="AD86" s="729"/>
      <c r="AE86" s="729"/>
      <c r="AF86" s="729"/>
      <c r="AG86" s="729"/>
      <c r="AH86" s="729"/>
      <c r="AI86" s="729"/>
      <c r="AJ86" s="729"/>
      <c r="AK86" s="729"/>
      <c r="AL86" s="729"/>
      <c r="AM86" s="729"/>
      <c r="AN86" s="729"/>
      <c r="AO86" s="729"/>
      <c r="AP86" s="729"/>
      <c r="AQ86" s="729"/>
      <c r="AR86" s="729"/>
      <c r="AS86" s="729"/>
      <c r="AT86" s="729"/>
      <c r="AU86" s="729"/>
      <c r="AV86" s="729"/>
      <c r="AW86" s="729"/>
      <c r="AX86" s="729"/>
      <c r="AY86" s="729"/>
      <c r="AZ86" s="729"/>
      <c r="BA86" s="729"/>
      <c r="BB86" s="729"/>
      <c r="BC86" s="729"/>
      <c r="BD86" s="729"/>
      <c r="BE86" s="729"/>
      <c r="BF86" s="729"/>
      <c r="BG86" s="729"/>
      <c r="BH86" s="729"/>
      <c r="BI86" s="729"/>
      <c r="BJ86" s="729"/>
      <c r="BK86" s="729"/>
      <c r="BL86" s="729"/>
      <c r="BM86" s="729"/>
      <c r="BN86" s="729"/>
      <c r="BO86" s="729"/>
      <c r="BP86" s="729"/>
      <c r="BQ86" s="729"/>
      <c r="BR86" s="729"/>
      <c r="BS86" s="729"/>
      <c r="BT86" s="729"/>
      <c r="BU86" s="729"/>
      <c r="BV86" s="729"/>
      <c r="BW86" s="732"/>
      <c r="BX86" s="732"/>
      <c r="BY86" s="732"/>
      <c r="BZ86" s="732"/>
      <c r="CA86" s="732"/>
      <c r="CB86" s="732"/>
      <c r="CC86" s="732"/>
      <c r="CD86" s="732"/>
      <c r="CE86" s="732"/>
      <c r="CF86" s="732"/>
      <c r="CG86" s="732"/>
      <c r="CH86" s="732"/>
      <c r="CI86" s="732"/>
      <c r="CJ86" s="732"/>
      <c r="CK86" s="732"/>
      <c r="CL86" s="732"/>
      <c r="CM86" s="732"/>
      <c r="CN86" s="732"/>
      <c r="CO86" s="732"/>
      <c r="CP86" s="732"/>
      <c r="CQ86" s="732"/>
      <c r="CR86" s="732"/>
      <c r="CS86" s="732"/>
      <c r="CT86" s="732"/>
      <c r="CU86" s="732"/>
      <c r="CV86" s="732"/>
      <c r="CW86" s="732"/>
      <c r="CX86" s="732"/>
      <c r="CY86" s="732"/>
      <c r="CZ86" s="732"/>
      <c r="DA86" s="732"/>
      <c r="DB86" s="732"/>
      <c r="DC86" s="732"/>
      <c r="DD86" s="732"/>
      <c r="DE86" s="732"/>
      <c r="DF86" s="732"/>
      <c r="DG86" s="732"/>
      <c r="DH86" s="732"/>
      <c r="DI86" s="732"/>
      <c r="DJ86" s="732"/>
      <c r="DK86" s="732"/>
      <c r="DL86" s="732"/>
      <c r="DM86" s="732"/>
      <c r="DN86" s="732"/>
      <c r="DO86" s="732"/>
      <c r="DP86" s="732"/>
      <c r="DQ86" s="732"/>
      <c r="DR86" s="732"/>
      <c r="DS86" s="732"/>
      <c r="DT86" s="732"/>
      <c r="DU86" s="732"/>
      <c r="DV86" s="732"/>
      <c r="DW86" s="732"/>
      <c r="DX86" s="732"/>
      <c r="DY86" s="732"/>
      <c r="DZ86" s="732"/>
      <c r="EA86" s="732"/>
      <c r="EB86" s="732"/>
      <c r="EC86" s="732"/>
      <c r="ED86" s="732"/>
      <c r="EE86" s="732"/>
      <c r="EF86" s="732"/>
      <c r="EG86" s="732"/>
      <c r="EH86" s="732"/>
      <c r="EI86" s="732"/>
      <c r="EJ86" s="732"/>
      <c r="EK86" s="732"/>
      <c r="EL86" s="732"/>
      <c r="EM86" s="732"/>
      <c r="EN86" s="732"/>
      <c r="EO86" s="732"/>
      <c r="EP86" s="732"/>
      <c r="EQ86" s="732"/>
      <c r="ER86" s="732"/>
      <c r="ES86" s="732"/>
      <c r="ET86" s="732"/>
      <c r="EU86" s="732"/>
      <c r="EV86" s="732"/>
      <c r="EW86" s="732"/>
      <c r="EX86" s="732"/>
      <c r="EY86" s="732"/>
      <c r="EZ86" s="732"/>
      <c r="FA86" s="732"/>
      <c r="FB86" s="732"/>
      <c r="FC86" s="732"/>
      <c r="FD86" s="732"/>
      <c r="FE86" s="732"/>
      <c r="FF86" s="732"/>
      <c r="FG86" s="732"/>
      <c r="FH86" s="732"/>
      <c r="FI86" s="732"/>
      <c r="FJ86" s="732"/>
      <c r="FK86" s="732"/>
      <c r="FL86" s="732"/>
      <c r="FM86" s="732"/>
      <c r="FN86" s="732"/>
      <c r="FO86" s="732"/>
      <c r="FP86" s="732"/>
      <c r="FQ86" s="732"/>
      <c r="FR86" s="732"/>
      <c r="FS86" s="732"/>
      <c r="FT86" s="732"/>
      <c r="FU86" s="732"/>
      <c r="FV86" s="732"/>
      <c r="FW86" s="732"/>
      <c r="FX86" s="732"/>
      <c r="FY86" s="732"/>
      <c r="FZ86" s="732"/>
      <c r="GA86" s="732"/>
      <c r="GB86" s="732"/>
      <c r="GC86" s="732"/>
      <c r="GD86" s="732"/>
      <c r="GE86" s="732"/>
      <c r="GF86" s="732"/>
      <c r="GG86" s="732"/>
      <c r="GH86" s="732"/>
      <c r="GI86" s="732"/>
      <c r="GJ86" s="732"/>
      <c r="GK86" s="732"/>
      <c r="GL86" s="732"/>
      <c r="GM86" s="732"/>
      <c r="GN86" s="732"/>
      <c r="GO86" s="732"/>
      <c r="GP86" s="732"/>
      <c r="GQ86" s="732"/>
      <c r="GR86" s="732"/>
      <c r="GS86" s="732"/>
      <c r="GT86" s="732"/>
      <c r="GU86" s="732"/>
      <c r="GV86" s="732"/>
      <c r="GW86" s="732"/>
      <c r="GX86" s="732"/>
      <c r="GY86" s="732"/>
      <c r="GZ86" s="732"/>
      <c r="HA86" s="732"/>
      <c r="HB86" s="732"/>
      <c r="HC86" s="732"/>
      <c r="HD86" s="732"/>
      <c r="HE86" s="732"/>
      <c r="HF86" s="732"/>
      <c r="HG86" s="732"/>
      <c r="HH86" s="732"/>
      <c r="HI86" s="732"/>
      <c r="HJ86" s="732"/>
      <c r="HK86" s="732"/>
      <c r="HL86" s="732"/>
      <c r="HM86" s="732"/>
      <c r="HN86" s="732"/>
      <c r="HO86" s="732"/>
      <c r="HP86" s="732"/>
      <c r="HQ86" s="732"/>
      <c r="HR86" s="732"/>
      <c r="HS86" s="732"/>
      <c r="HT86" s="732"/>
      <c r="HU86" s="732"/>
      <c r="HV86" s="732"/>
      <c r="HW86" s="732"/>
      <c r="HX86" s="732"/>
      <c r="HY86" s="732"/>
      <c r="HZ86" s="732"/>
      <c r="IA86" s="732"/>
      <c r="IB86" s="732"/>
      <c r="IC86" s="732"/>
      <c r="ID86" s="732"/>
      <c r="IE86" s="732"/>
      <c r="IF86" s="732"/>
      <c r="IG86" s="732"/>
      <c r="IH86" s="732"/>
      <c r="II86" s="732"/>
      <c r="IJ86" s="732"/>
      <c r="IK86" s="732"/>
      <c r="IL86" s="732"/>
      <c r="IM86" s="732"/>
      <c r="IN86" s="732"/>
      <c r="IO86" s="732"/>
      <c r="IP86" s="732"/>
      <c r="IQ86" s="732"/>
      <c r="IR86" s="732"/>
      <c r="IS86" s="732"/>
    </row>
    <row r="87" s="563" customFormat="1" ht="15" spans="1:253">
      <c r="A87" s="719" t="s">
        <v>154</v>
      </c>
      <c r="B87" s="657" t="s">
        <v>155</v>
      </c>
      <c r="C87" s="698" t="s">
        <v>156</v>
      </c>
      <c r="D87" s="716" t="s">
        <v>69</v>
      </c>
      <c r="E87" s="720">
        <f>'PB VI - Memorial'!E105</f>
        <v>18.73</v>
      </c>
      <c r="F87" s="694">
        <v>7.35</v>
      </c>
      <c r="G87" s="694">
        <f t="shared" ref="G87:G88" si="8">ROUND(E87*F87,2)</f>
        <v>137.67</v>
      </c>
      <c r="H87" s="711"/>
      <c r="I87" s="711"/>
      <c r="J87" s="711"/>
      <c r="K87" s="711"/>
      <c r="L87" s="711"/>
      <c r="M87" s="695">
        <f t="shared" si="7"/>
        <v>997182.95</v>
      </c>
      <c r="N87" s="729"/>
      <c r="O87" s="729"/>
      <c r="P87" s="729"/>
      <c r="Q87" s="729"/>
      <c r="R87" s="729"/>
      <c r="S87" s="729"/>
      <c r="T87" s="729"/>
      <c r="U87" s="729"/>
      <c r="V87" s="729"/>
      <c r="W87" s="729"/>
      <c r="X87" s="729"/>
      <c r="Y87" s="729"/>
      <c r="Z87" s="729"/>
      <c r="AA87" s="729"/>
      <c r="AB87" s="729"/>
      <c r="AC87" s="729"/>
      <c r="AD87" s="729"/>
      <c r="AE87" s="729"/>
      <c r="AF87" s="729"/>
      <c r="AG87" s="729"/>
      <c r="AH87" s="729"/>
      <c r="AI87" s="729"/>
      <c r="AJ87" s="729"/>
      <c r="AK87" s="729"/>
      <c r="AL87" s="729"/>
      <c r="AM87" s="729"/>
      <c r="AN87" s="729"/>
      <c r="AO87" s="729"/>
      <c r="AP87" s="729"/>
      <c r="AQ87" s="729"/>
      <c r="AR87" s="729"/>
      <c r="AS87" s="729"/>
      <c r="AT87" s="729"/>
      <c r="AU87" s="729"/>
      <c r="AV87" s="729"/>
      <c r="AW87" s="729"/>
      <c r="AX87" s="729"/>
      <c r="AY87" s="729"/>
      <c r="AZ87" s="729"/>
      <c r="BA87" s="729"/>
      <c r="BB87" s="729"/>
      <c r="BC87" s="729"/>
      <c r="BD87" s="729"/>
      <c r="BE87" s="729"/>
      <c r="BF87" s="729"/>
      <c r="BG87" s="729"/>
      <c r="BH87" s="729"/>
      <c r="BI87" s="729"/>
      <c r="BJ87" s="729"/>
      <c r="BK87" s="729"/>
      <c r="BL87" s="729"/>
      <c r="BM87" s="729"/>
      <c r="BN87" s="729"/>
      <c r="BO87" s="729"/>
      <c r="BP87" s="729"/>
      <c r="BQ87" s="729"/>
      <c r="BR87" s="729"/>
      <c r="BS87" s="729"/>
      <c r="BT87" s="729"/>
      <c r="BU87" s="729"/>
      <c r="BV87" s="729"/>
      <c r="BW87" s="732"/>
      <c r="BX87" s="732"/>
      <c r="BY87" s="732"/>
      <c r="BZ87" s="732"/>
      <c r="CA87" s="732"/>
      <c r="CB87" s="732"/>
      <c r="CC87" s="732"/>
      <c r="CD87" s="732"/>
      <c r="CE87" s="732"/>
      <c r="CF87" s="732"/>
      <c r="CG87" s="732"/>
      <c r="CH87" s="732"/>
      <c r="CI87" s="732"/>
      <c r="CJ87" s="732"/>
      <c r="CK87" s="732"/>
      <c r="CL87" s="732"/>
      <c r="CM87" s="732"/>
      <c r="CN87" s="732"/>
      <c r="CO87" s="732"/>
      <c r="CP87" s="732"/>
      <c r="CQ87" s="732"/>
      <c r="CR87" s="732"/>
      <c r="CS87" s="732"/>
      <c r="CT87" s="732"/>
      <c r="CU87" s="732"/>
      <c r="CV87" s="732"/>
      <c r="CW87" s="732"/>
      <c r="CX87" s="732"/>
      <c r="CY87" s="732"/>
      <c r="CZ87" s="732"/>
      <c r="DA87" s="732"/>
      <c r="DB87" s="732"/>
      <c r="DC87" s="732"/>
      <c r="DD87" s="732"/>
      <c r="DE87" s="732"/>
      <c r="DF87" s="732"/>
      <c r="DG87" s="732"/>
      <c r="DH87" s="732"/>
      <c r="DI87" s="732"/>
      <c r="DJ87" s="732"/>
      <c r="DK87" s="732"/>
      <c r="DL87" s="732"/>
      <c r="DM87" s="732"/>
      <c r="DN87" s="732"/>
      <c r="DO87" s="732"/>
      <c r="DP87" s="732"/>
      <c r="DQ87" s="732"/>
      <c r="DR87" s="732"/>
      <c r="DS87" s="732"/>
      <c r="DT87" s="732"/>
      <c r="DU87" s="732"/>
      <c r="DV87" s="732"/>
      <c r="DW87" s="732"/>
      <c r="DX87" s="732"/>
      <c r="DY87" s="732"/>
      <c r="DZ87" s="732"/>
      <c r="EA87" s="732"/>
      <c r="EB87" s="732"/>
      <c r="EC87" s="732"/>
      <c r="ED87" s="732"/>
      <c r="EE87" s="732"/>
      <c r="EF87" s="732"/>
      <c r="EG87" s="732"/>
      <c r="EH87" s="732"/>
      <c r="EI87" s="732"/>
      <c r="EJ87" s="732"/>
      <c r="EK87" s="732"/>
      <c r="EL87" s="732"/>
      <c r="EM87" s="732"/>
      <c r="EN87" s="732"/>
      <c r="EO87" s="732"/>
      <c r="EP87" s="732"/>
      <c r="EQ87" s="732"/>
      <c r="ER87" s="732"/>
      <c r="ES87" s="732"/>
      <c r="ET87" s="732"/>
      <c r="EU87" s="732"/>
      <c r="EV87" s="732"/>
      <c r="EW87" s="732"/>
      <c r="EX87" s="732"/>
      <c r="EY87" s="732"/>
      <c r="EZ87" s="732"/>
      <c r="FA87" s="732"/>
      <c r="FB87" s="732"/>
      <c r="FC87" s="732"/>
      <c r="FD87" s="732"/>
      <c r="FE87" s="732"/>
      <c r="FF87" s="732"/>
      <c r="FG87" s="732"/>
      <c r="FH87" s="732"/>
      <c r="FI87" s="732"/>
      <c r="FJ87" s="732"/>
      <c r="FK87" s="732"/>
      <c r="FL87" s="732"/>
      <c r="FM87" s="732"/>
      <c r="FN87" s="732"/>
      <c r="FO87" s="732"/>
      <c r="FP87" s="732"/>
      <c r="FQ87" s="732"/>
      <c r="FR87" s="732"/>
      <c r="FS87" s="732"/>
      <c r="FT87" s="732"/>
      <c r="FU87" s="732"/>
      <c r="FV87" s="732"/>
      <c r="FW87" s="732"/>
      <c r="FX87" s="732"/>
      <c r="FY87" s="732"/>
      <c r="FZ87" s="732"/>
      <c r="GA87" s="732"/>
      <c r="GB87" s="732"/>
      <c r="GC87" s="732"/>
      <c r="GD87" s="732"/>
      <c r="GE87" s="732"/>
      <c r="GF87" s="732"/>
      <c r="GG87" s="732"/>
      <c r="GH87" s="732"/>
      <c r="GI87" s="732"/>
      <c r="GJ87" s="732"/>
      <c r="GK87" s="732"/>
      <c r="GL87" s="732"/>
      <c r="GM87" s="732"/>
      <c r="GN87" s="732"/>
      <c r="GO87" s="732"/>
      <c r="GP87" s="732"/>
      <c r="GQ87" s="732"/>
      <c r="GR87" s="732"/>
      <c r="GS87" s="732"/>
      <c r="GT87" s="732"/>
      <c r="GU87" s="732"/>
      <c r="GV87" s="732"/>
      <c r="GW87" s="732"/>
      <c r="GX87" s="732"/>
      <c r="GY87" s="732"/>
      <c r="GZ87" s="732"/>
      <c r="HA87" s="732"/>
      <c r="HB87" s="732"/>
      <c r="HC87" s="732"/>
      <c r="HD87" s="732"/>
      <c r="HE87" s="732"/>
      <c r="HF87" s="732"/>
      <c r="HG87" s="732"/>
      <c r="HH87" s="732"/>
      <c r="HI87" s="732"/>
      <c r="HJ87" s="732"/>
      <c r="HK87" s="732"/>
      <c r="HL87" s="732"/>
      <c r="HM87" s="732"/>
      <c r="HN87" s="732"/>
      <c r="HO87" s="732"/>
      <c r="HP87" s="732"/>
      <c r="HQ87" s="732"/>
      <c r="HR87" s="732"/>
      <c r="HS87" s="732"/>
      <c r="HT87" s="732"/>
      <c r="HU87" s="732"/>
      <c r="HV87" s="732"/>
      <c r="HW87" s="732"/>
      <c r="HX87" s="732"/>
      <c r="HY87" s="732"/>
      <c r="HZ87" s="732"/>
      <c r="IA87" s="732"/>
      <c r="IB87" s="732"/>
      <c r="IC87" s="732"/>
      <c r="ID87" s="732"/>
      <c r="IE87" s="732"/>
      <c r="IF87" s="732"/>
      <c r="IG87" s="732"/>
      <c r="IH87" s="732"/>
      <c r="II87" s="732"/>
      <c r="IJ87" s="732"/>
      <c r="IK87" s="732"/>
      <c r="IL87" s="732"/>
      <c r="IM87" s="732"/>
      <c r="IN87" s="732"/>
      <c r="IO87" s="732"/>
      <c r="IP87" s="732"/>
      <c r="IQ87" s="732"/>
      <c r="IR87" s="732"/>
      <c r="IS87" s="732"/>
    </row>
    <row r="88" s="563" customFormat="1" ht="15" spans="1:253">
      <c r="A88" s="719" t="s">
        <v>157</v>
      </c>
      <c r="B88" s="657" t="s">
        <v>158</v>
      </c>
      <c r="C88" s="698" t="s">
        <v>159</v>
      </c>
      <c r="D88" s="716" t="s">
        <v>69</v>
      </c>
      <c r="E88" s="720">
        <f>'PB VI - Memorial'!F105</f>
        <v>9</v>
      </c>
      <c r="F88" s="694">
        <v>5.67</v>
      </c>
      <c r="G88" s="694">
        <f t="shared" si="8"/>
        <v>51.03</v>
      </c>
      <c r="H88" s="711"/>
      <c r="I88" s="711"/>
      <c r="J88" s="711"/>
      <c r="K88" s="711"/>
      <c r="L88" s="711"/>
      <c r="M88" s="695">
        <f t="shared" si="7"/>
        <v>997182.95</v>
      </c>
      <c r="N88" s="729"/>
      <c r="O88" s="729"/>
      <c r="P88" s="729"/>
      <c r="Q88" s="729"/>
      <c r="R88" s="729"/>
      <c r="S88" s="729"/>
      <c r="T88" s="729"/>
      <c r="U88" s="729"/>
      <c r="V88" s="729"/>
      <c r="W88" s="729"/>
      <c r="X88" s="729"/>
      <c r="Y88" s="729"/>
      <c r="Z88" s="729"/>
      <c r="AA88" s="729"/>
      <c r="AB88" s="729"/>
      <c r="AC88" s="729"/>
      <c r="AD88" s="729"/>
      <c r="AE88" s="729"/>
      <c r="AF88" s="729"/>
      <c r="AG88" s="729"/>
      <c r="AH88" s="729"/>
      <c r="AI88" s="729"/>
      <c r="AJ88" s="729"/>
      <c r="AK88" s="729"/>
      <c r="AL88" s="729"/>
      <c r="AM88" s="729"/>
      <c r="AN88" s="729"/>
      <c r="AO88" s="729"/>
      <c r="AP88" s="729"/>
      <c r="AQ88" s="729"/>
      <c r="AR88" s="729"/>
      <c r="AS88" s="729"/>
      <c r="AT88" s="729"/>
      <c r="AU88" s="729"/>
      <c r="AV88" s="729"/>
      <c r="AW88" s="729"/>
      <c r="AX88" s="729"/>
      <c r="AY88" s="729"/>
      <c r="AZ88" s="729"/>
      <c r="BA88" s="729"/>
      <c r="BB88" s="729"/>
      <c r="BC88" s="729"/>
      <c r="BD88" s="729"/>
      <c r="BE88" s="729"/>
      <c r="BF88" s="729"/>
      <c r="BG88" s="729"/>
      <c r="BH88" s="729"/>
      <c r="BI88" s="729"/>
      <c r="BJ88" s="729"/>
      <c r="BK88" s="729"/>
      <c r="BL88" s="729"/>
      <c r="BM88" s="729"/>
      <c r="BN88" s="729"/>
      <c r="BO88" s="729"/>
      <c r="BP88" s="729"/>
      <c r="BQ88" s="729"/>
      <c r="BR88" s="729"/>
      <c r="BS88" s="729"/>
      <c r="BT88" s="729"/>
      <c r="BU88" s="729"/>
      <c r="BV88" s="729"/>
      <c r="BW88" s="732"/>
      <c r="BX88" s="732"/>
      <c r="BY88" s="732"/>
      <c r="BZ88" s="732"/>
      <c r="CA88" s="732"/>
      <c r="CB88" s="732"/>
      <c r="CC88" s="732"/>
      <c r="CD88" s="732"/>
      <c r="CE88" s="732"/>
      <c r="CF88" s="732"/>
      <c r="CG88" s="732"/>
      <c r="CH88" s="732"/>
      <c r="CI88" s="732"/>
      <c r="CJ88" s="732"/>
      <c r="CK88" s="732"/>
      <c r="CL88" s="732"/>
      <c r="CM88" s="732"/>
      <c r="CN88" s="732"/>
      <c r="CO88" s="732"/>
      <c r="CP88" s="732"/>
      <c r="CQ88" s="732"/>
      <c r="CR88" s="732"/>
      <c r="CS88" s="732"/>
      <c r="CT88" s="732"/>
      <c r="CU88" s="732"/>
      <c r="CV88" s="732"/>
      <c r="CW88" s="732"/>
      <c r="CX88" s="732"/>
      <c r="CY88" s="732"/>
      <c r="CZ88" s="732"/>
      <c r="DA88" s="732"/>
      <c r="DB88" s="732"/>
      <c r="DC88" s="732"/>
      <c r="DD88" s="732"/>
      <c r="DE88" s="732"/>
      <c r="DF88" s="732"/>
      <c r="DG88" s="732"/>
      <c r="DH88" s="732"/>
      <c r="DI88" s="732"/>
      <c r="DJ88" s="732"/>
      <c r="DK88" s="732"/>
      <c r="DL88" s="732"/>
      <c r="DM88" s="732"/>
      <c r="DN88" s="732"/>
      <c r="DO88" s="732"/>
      <c r="DP88" s="732"/>
      <c r="DQ88" s="732"/>
      <c r="DR88" s="732"/>
      <c r="DS88" s="732"/>
      <c r="DT88" s="732"/>
      <c r="DU88" s="732"/>
      <c r="DV88" s="732"/>
      <c r="DW88" s="732"/>
      <c r="DX88" s="732"/>
      <c r="DY88" s="732"/>
      <c r="DZ88" s="732"/>
      <c r="EA88" s="732"/>
      <c r="EB88" s="732"/>
      <c r="EC88" s="732"/>
      <c r="ED88" s="732"/>
      <c r="EE88" s="732"/>
      <c r="EF88" s="732"/>
      <c r="EG88" s="732"/>
      <c r="EH88" s="732"/>
      <c r="EI88" s="732"/>
      <c r="EJ88" s="732"/>
      <c r="EK88" s="732"/>
      <c r="EL88" s="732"/>
      <c r="EM88" s="732"/>
      <c r="EN88" s="732"/>
      <c r="EO88" s="732"/>
      <c r="EP88" s="732"/>
      <c r="EQ88" s="732"/>
      <c r="ER88" s="732"/>
      <c r="ES88" s="732"/>
      <c r="ET88" s="732"/>
      <c r="EU88" s="732"/>
      <c r="EV88" s="732"/>
      <c r="EW88" s="732"/>
      <c r="EX88" s="732"/>
      <c r="EY88" s="732"/>
      <c r="EZ88" s="732"/>
      <c r="FA88" s="732"/>
      <c r="FB88" s="732"/>
      <c r="FC88" s="732"/>
      <c r="FD88" s="732"/>
      <c r="FE88" s="732"/>
      <c r="FF88" s="732"/>
      <c r="FG88" s="732"/>
      <c r="FH88" s="732"/>
      <c r="FI88" s="732"/>
      <c r="FJ88" s="732"/>
      <c r="FK88" s="732"/>
      <c r="FL88" s="732"/>
      <c r="FM88" s="732"/>
      <c r="FN88" s="732"/>
      <c r="FO88" s="732"/>
      <c r="FP88" s="732"/>
      <c r="FQ88" s="732"/>
      <c r="FR88" s="732"/>
      <c r="FS88" s="732"/>
      <c r="FT88" s="732"/>
      <c r="FU88" s="732"/>
      <c r="FV88" s="732"/>
      <c r="FW88" s="732"/>
      <c r="FX88" s="732"/>
      <c r="FY88" s="732"/>
      <c r="FZ88" s="732"/>
      <c r="GA88" s="732"/>
      <c r="GB88" s="732"/>
      <c r="GC88" s="732"/>
      <c r="GD88" s="732"/>
      <c r="GE88" s="732"/>
      <c r="GF88" s="732"/>
      <c r="GG88" s="732"/>
      <c r="GH88" s="732"/>
      <c r="GI88" s="732"/>
      <c r="GJ88" s="732"/>
      <c r="GK88" s="732"/>
      <c r="GL88" s="732"/>
      <c r="GM88" s="732"/>
      <c r="GN88" s="732"/>
      <c r="GO88" s="732"/>
      <c r="GP88" s="732"/>
      <c r="GQ88" s="732"/>
      <c r="GR88" s="732"/>
      <c r="GS88" s="732"/>
      <c r="GT88" s="732"/>
      <c r="GU88" s="732"/>
      <c r="GV88" s="732"/>
      <c r="GW88" s="732"/>
      <c r="GX88" s="732"/>
      <c r="GY88" s="732"/>
      <c r="GZ88" s="732"/>
      <c r="HA88" s="732"/>
      <c r="HB88" s="732"/>
      <c r="HC88" s="732"/>
      <c r="HD88" s="732"/>
      <c r="HE88" s="732"/>
      <c r="HF88" s="732"/>
      <c r="HG88" s="732"/>
      <c r="HH88" s="732"/>
      <c r="HI88" s="732"/>
      <c r="HJ88" s="732"/>
      <c r="HK88" s="732"/>
      <c r="HL88" s="732"/>
      <c r="HM88" s="732"/>
      <c r="HN88" s="732"/>
      <c r="HO88" s="732"/>
      <c r="HP88" s="732"/>
      <c r="HQ88" s="732"/>
      <c r="HR88" s="732"/>
      <c r="HS88" s="732"/>
      <c r="HT88" s="732"/>
      <c r="HU88" s="732"/>
      <c r="HV88" s="732"/>
      <c r="HW88" s="732"/>
      <c r="HX88" s="732"/>
      <c r="HY88" s="732"/>
      <c r="HZ88" s="732"/>
      <c r="IA88" s="732"/>
      <c r="IB88" s="732"/>
      <c r="IC88" s="732"/>
      <c r="ID88" s="732"/>
      <c r="IE88" s="732"/>
      <c r="IF88" s="732"/>
      <c r="IG88" s="732"/>
      <c r="IH88" s="732"/>
      <c r="II88" s="732"/>
      <c r="IJ88" s="732"/>
      <c r="IK88" s="732"/>
      <c r="IL88" s="732"/>
      <c r="IM88" s="732"/>
      <c r="IN88" s="732"/>
      <c r="IO88" s="732"/>
      <c r="IP88" s="732"/>
      <c r="IQ88" s="732"/>
      <c r="IR88" s="732"/>
      <c r="IS88" s="732"/>
    </row>
    <row r="89" s="563" customFormat="1" ht="15" spans="1:253">
      <c r="A89" s="719" t="s">
        <v>160</v>
      </c>
      <c r="B89" s="657" t="s">
        <v>161</v>
      </c>
      <c r="C89" s="698" t="s">
        <v>162</v>
      </c>
      <c r="D89" s="716" t="s">
        <v>69</v>
      </c>
      <c r="E89" s="694">
        <f>'PB VI - Memorial'!G105</f>
        <v>126.36</v>
      </c>
      <c r="F89" s="694">
        <v>13.31</v>
      </c>
      <c r="G89" s="694">
        <f t="shared" si="5"/>
        <v>1681.85</v>
      </c>
      <c r="H89" s="711"/>
      <c r="I89" s="711"/>
      <c r="J89" s="711"/>
      <c r="K89" s="711"/>
      <c r="L89" s="711"/>
      <c r="M89" s="695">
        <f t="shared" si="7"/>
        <v>997182.95</v>
      </c>
      <c r="N89" s="729"/>
      <c r="O89" s="729"/>
      <c r="P89" s="729"/>
      <c r="Q89" s="729"/>
      <c r="R89" s="729"/>
      <c r="S89" s="729"/>
      <c r="T89" s="729"/>
      <c r="U89" s="729"/>
      <c r="V89" s="729"/>
      <c r="W89" s="729"/>
      <c r="X89" s="729"/>
      <c r="Y89" s="729"/>
      <c r="Z89" s="729"/>
      <c r="AA89" s="729"/>
      <c r="AB89" s="729"/>
      <c r="AC89" s="729"/>
      <c r="AD89" s="729"/>
      <c r="AE89" s="729"/>
      <c r="AF89" s="729"/>
      <c r="AG89" s="729"/>
      <c r="AH89" s="729"/>
      <c r="AI89" s="729"/>
      <c r="AJ89" s="729"/>
      <c r="AK89" s="729"/>
      <c r="AL89" s="729"/>
      <c r="AM89" s="729"/>
      <c r="AN89" s="729"/>
      <c r="AO89" s="729"/>
      <c r="AP89" s="729"/>
      <c r="AQ89" s="729"/>
      <c r="AR89" s="729"/>
      <c r="AS89" s="729"/>
      <c r="AT89" s="729"/>
      <c r="AU89" s="729"/>
      <c r="AV89" s="729"/>
      <c r="AW89" s="729"/>
      <c r="AX89" s="729"/>
      <c r="AY89" s="729"/>
      <c r="AZ89" s="729"/>
      <c r="BA89" s="729"/>
      <c r="BB89" s="729"/>
      <c r="BC89" s="729"/>
      <c r="BD89" s="729"/>
      <c r="BE89" s="729"/>
      <c r="BF89" s="729"/>
      <c r="BG89" s="729"/>
      <c r="BH89" s="729"/>
      <c r="BI89" s="729"/>
      <c r="BJ89" s="729"/>
      <c r="BK89" s="729"/>
      <c r="BL89" s="729"/>
      <c r="BM89" s="729"/>
      <c r="BN89" s="729"/>
      <c r="BO89" s="729"/>
      <c r="BP89" s="729"/>
      <c r="BQ89" s="729"/>
      <c r="BR89" s="729"/>
      <c r="BS89" s="729"/>
      <c r="BT89" s="729"/>
      <c r="BU89" s="729"/>
      <c r="BV89" s="729"/>
      <c r="BW89" s="732"/>
      <c r="BX89" s="732"/>
      <c r="BY89" s="732"/>
      <c r="BZ89" s="732"/>
      <c r="CA89" s="732"/>
      <c r="CB89" s="732"/>
      <c r="CC89" s="732"/>
      <c r="CD89" s="732"/>
      <c r="CE89" s="732"/>
      <c r="CF89" s="732"/>
      <c r="CG89" s="732"/>
      <c r="CH89" s="732"/>
      <c r="CI89" s="732"/>
      <c r="CJ89" s="732"/>
      <c r="CK89" s="732"/>
      <c r="CL89" s="732"/>
      <c r="CM89" s="732"/>
      <c r="CN89" s="732"/>
      <c r="CO89" s="732"/>
      <c r="CP89" s="732"/>
      <c r="CQ89" s="732"/>
      <c r="CR89" s="732"/>
      <c r="CS89" s="732"/>
      <c r="CT89" s="732"/>
      <c r="CU89" s="732"/>
      <c r="CV89" s="732"/>
      <c r="CW89" s="732"/>
      <c r="CX89" s="732"/>
      <c r="CY89" s="732"/>
      <c r="CZ89" s="732"/>
      <c r="DA89" s="732"/>
      <c r="DB89" s="732"/>
      <c r="DC89" s="732"/>
      <c r="DD89" s="732"/>
      <c r="DE89" s="732"/>
      <c r="DF89" s="732"/>
      <c r="DG89" s="732"/>
      <c r="DH89" s="732"/>
      <c r="DI89" s="732"/>
      <c r="DJ89" s="732"/>
      <c r="DK89" s="732"/>
      <c r="DL89" s="732"/>
      <c r="DM89" s="732"/>
      <c r="DN89" s="732"/>
      <c r="DO89" s="732"/>
      <c r="DP89" s="732"/>
      <c r="DQ89" s="732"/>
      <c r="DR89" s="732"/>
      <c r="DS89" s="732"/>
      <c r="DT89" s="732"/>
      <c r="DU89" s="732"/>
      <c r="DV89" s="732"/>
      <c r="DW89" s="732"/>
      <c r="DX89" s="732"/>
      <c r="DY89" s="732"/>
      <c r="DZ89" s="732"/>
      <c r="EA89" s="732"/>
      <c r="EB89" s="732"/>
      <c r="EC89" s="732"/>
      <c r="ED89" s="732"/>
      <c r="EE89" s="732"/>
      <c r="EF89" s="732"/>
      <c r="EG89" s="732"/>
      <c r="EH89" s="732"/>
      <c r="EI89" s="732"/>
      <c r="EJ89" s="732"/>
      <c r="EK89" s="732"/>
      <c r="EL89" s="732"/>
      <c r="EM89" s="732"/>
      <c r="EN89" s="732"/>
      <c r="EO89" s="732"/>
      <c r="EP89" s="732"/>
      <c r="EQ89" s="732"/>
      <c r="ER89" s="732"/>
      <c r="ES89" s="732"/>
      <c r="ET89" s="732"/>
      <c r="EU89" s="732"/>
      <c r="EV89" s="732"/>
      <c r="EW89" s="732"/>
      <c r="EX89" s="732"/>
      <c r="EY89" s="732"/>
      <c r="EZ89" s="732"/>
      <c r="FA89" s="732"/>
      <c r="FB89" s="732"/>
      <c r="FC89" s="732"/>
      <c r="FD89" s="732"/>
      <c r="FE89" s="732"/>
      <c r="FF89" s="732"/>
      <c r="FG89" s="732"/>
      <c r="FH89" s="732"/>
      <c r="FI89" s="732"/>
      <c r="FJ89" s="732"/>
      <c r="FK89" s="732"/>
      <c r="FL89" s="732"/>
      <c r="FM89" s="732"/>
      <c r="FN89" s="732"/>
      <c r="FO89" s="732"/>
      <c r="FP89" s="732"/>
      <c r="FQ89" s="732"/>
      <c r="FR89" s="732"/>
      <c r="FS89" s="732"/>
      <c r="FT89" s="732"/>
      <c r="FU89" s="732"/>
      <c r="FV89" s="732"/>
      <c r="FW89" s="732"/>
      <c r="FX89" s="732"/>
      <c r="FY89" s="732"/>
      <c r="FZ89" s="732"/>
      <c r="GA89" s="732"/>
      <c r="GB89" s="732"/>
      <c r="GC89" s="732"/>
      <c r="GD89" s="732"/>
      <c r="GE89" s="732"/>
      <c r="GF89" s="732"/>
      <c r="GG89" s="732"/>
      <c r="GH89" s="732"/>
      <c r="GI89" s="732"/>
      <c r="GJ89" s="732"/>
      <c r="GK89" s="732"/>
      <c r="GL89" s="732"/>
      <c r="GM89" s="732"/>
      <c r="GN89" s="732"/>
      <c r="GO89" s="732"/>
      <c r="GP89" s="732"/>
      <c r="GQ89" s="732"/>
      <c r="GR89" s="732"/>
      <c r="GS89" s="732"/>
      <c r="GT89" s="732"/>
      <c r="GU89" s="732"/>
      <c r="GV89" s="732"/>
      <c r="GW89" s="732"/>
      <c r="GX89" s="732"/>
      <c r="GY89" s="732"/>
      <c r="GZ89" s="732"/>
      <c r="HA89" s="732"/>
      <c r="HB89" s="732"/>
      <c r="HC89" s="732"/>
      <c r="HD89" s="732"/>
      <c r="HE89" s="732"/>
      <c r="HF89" s="732"/>
      <c r="HG89" s="732"/>
      <c r="HH89" s="732"/>
      <c r="HI89" s="732"/>
      <c r="HJ89" s="732"/>
      <c r="HK89" s="732"/>
      <c r="HL89" s="732"/>
      <c r="HM89" s="732"/>
      <c r="HN89" s="732"/>
      <c r="HO89" s="732"/>
      <c r="HP89" s="732"/>
      <c r="HQ89" s="732"/>
      <c r="HR89" s="732"/>
      <c r="HS89" s="732"/>
      <c r="HT89" s="732"/>
      <c r="HU89" s="732"/>
      <c r="HV89" s="732"/>
      <c r="HW89" s="732"/>
      <c r="HX89" s="732"/>
      <c r="HY89" s="732"/>
      <c r="HZ89" s="732"/>
      <c r="IA89" s="732"/>
      <c r="IB89" s="732"/>
      <c r="IC89" s="732"/>
      <c r="ID89" s="732"/>
      <c r="IE89" s="732"/>
      <c r="IF89" s="732"/>
      <c r="IG89" s="732"/>
      <c r="IH89" s="732"/>
      <c r="II89" s="732"/>
      <c r="IJ89" s="732"/>
      <c r="IK89" s="732"/>
      <c r="IL89" s="732"/>
      <c r="IM89" s="732"/>
      <c r="IN89" s="732"/>
      <c r="IO89" s="732"/>
      <c r="IP89" s="732"/>
      <c r="IQ89" s="732"/>
      <c r="IR89" s="732"/>
      <c r="IS89" s="732"/>
    </row>
    <row r="90" s="563" customFormat="1" ht="22.5" spans="1:253">
      <c r="A90" s="719" t="s">
        <v>163</v>
      </c>
      <c r="B90" s="657" t="s">
        <v>164</v>
      </c>
      <c r="C90" s="698" t="s">
        <v>165</v>
      </c>
      <c r="D90" s="716" t="s">
        <v>17</v>
      </c>
      <c r="E90" s="694">
        <f>'PB VI - Memorial'!C103</f>
        <v>157.28</v>
      </c>
      <c r="F90" s="694">
        <v>8.67</v>
      </c>
      <c r="G90" s="694">
        <f t="shared" si="5"/>
        <v>1363.62</v>
      </c>
      <c r="H90" s="711"/>
      <c r="I90" s="711"/>
      <c r="J90" s="711"/>
      <c r="K90" s="711"/>
      <c r="L90" s="711"/>
      <c r="M90" s="695">
        <f t="shared" si="7"/>
        <v>997182.95</v>
      </c>
      <c r="N90" s="729"/>
      <c r="O90" s="729"/>
      <c r="P90" s="729"/>
      <c r="Q90" s="729"/>
      <c r="R90" s="729"/>
      <c r="S90" s="729"/>
      <c r="T90" s="729"/>
      <c r="U90" s="729"/>
      <c r="V90" s="729"/>
      <c r="W90" s="729"/>
      <c r="X90" s="729"/>
      <c r="Y90" s="729"/>
      <c r="Z90" s="729"/>
      <c r="AA90" s="729"/>
      <c r="AB90" s="729"/>
      <c r="AC90" s="729"/>
      <c r="AD90" s="729"/>
      <c r="AE90" s="729"/>
      <c r="AF90" s="729"/>
      <c r="AG90" s="729"/>
      <c r="AH90" s="729"/>
      <c r="AI90" s="729"/>
      <c r="AJ90" s="729"/>
      <c r="AK90" s="729"/>
      <c r="AL90" s="729"/>
      <c r="AM90" s="729"/>
      <c r="AN90" s="729"/>
      <c r="AO90" s="729"/>
      <c r="AP90" s="729"/>
      <c r="AQ90" s="729"/>
      <c r="AR90" s="729"/>
      <c r="AS90" s="729"/>
      <c r="AT90" s="729"/>
      <c r="AU90" s="729"/>
      <c r="AV90" s="729"/>
      <c r="AW90" s="729"/>
      <c r="AX90" s="729"/>
      <c r="AY90" s="729"/>
      <c r="AZ90" s="729"/>
      <c r="BA90" s="729"/>
      <c r="BB90" s="729"/>
      <c r="BC90" s="729"/>
      <c r="BD90" s="729"/>
      <c r="BE90" s="729"/>
      <c r="BF90" s="729"/>
      <c r="BG90" s="729"/>
      <c r="BH90" s="729"/>
      <c r="BI90" s="729"/>
      <c r="BJ90" s="729"/>
      <c r="BK90" s="729"/>
      <c r="BL90" s="729"/>
      <c r="BM90" s="729"/>
      <c r="BN90" s="729"/>
      <c r="BO90" s="729"/>
      <c r="BP90" s="729"/>
      <c r="BQ90" s="729"/>
      <c r="BR90" s="729"/>
      <c r="BS90" s="729"/>
      <c r="BT90" s="729"/>
      <c r="BU90" s="729"/>
      <c r="BV90" s="729"/>
      <c r="BW90" s="732"/>
      <c r="BX90" s="732"/>
      <c r="BY90" s="732"/>
      <c r="BZ90" s="732"/>
      <c r="CA90" s="732"/>
      <c r="CB90" s="732"/>
      <c r="CC90" s="732"/>
      <c r="CD90" s="732"/>
      <c r="CE90" s="732"/>
      <c r="CF90" s="732"/>
      <c r="CG90" s="732"/>
      <c r="CH90" s="732"/>
      <c r="CI90" s="732"/>
      <c r="CJ90" s="732"/>
      <c r="CK90" s="732"/>
      <c r="CL90" s="732"/>
      <c r="CM90" s="732"/>
      <c r="CN90" s="732"/>
      <c r="CO90" s="732"/>
      <c r="CP90" s="732"/>
      <c r="CQ90" s="732"/>
      <c r="CR90" s="732"/>
      <c r="CS90" s="732"/>
      <c r="CT90" s="732"/>
      <c r="CU90" s="732"/>
      <c r="CV90" s="732"/>
      <c r="CW90" s="732"/>
      <c r="CX90" s="732"/>
      <c r="CY90" s="732"/>
      <c r="CZ90" s="732"/>
      <c r="DA90" s="732"/>
      <c r="DB90" s="732"/>
      <c r="DC90" s="732"/>
      <c r="DD90" s="732"/>
      <c r="DE90" s="732"/>
      <c r="DF90" s="732"/>
      <c r="DG90" s="732"/>
      <c r="DH90" s="732"/>
      <c r="DI90" s="732"/>
      <c r="DJ90" s="732"/>
      <c r="DK90" s="732"/>
      <c r="DL90" s="732"/>
      <c r="DM90" s="732"/>
      <c r="DN90" s="732"/>
      <c r="DO90" s="732"/>
      <c r="DP90" s="732"/>
      <c r="DQ90" s="732"/>
      <c r="DR90" s="732"/>
      <c r="DS90" s="732"/>
      <c r="DT90" s="732"/>
      <c r="DU90" s="732"/>
      <c r="DV90" s="732"/>
      <c r="DW90" s="732"/>
      <c r="DX90" s="732"/>
      <c r="DY90" s="732"/>
      <c r="DZ90" s="732"/>
      <c r="EA90" s="732"/>
      <c r="EB90" s="732"/>
      <c r="EC90" s="732"/>
      <c r="ED90" s="732"/>
      <c r="EE90" s="732"/>
      <c r="EF90" s="732"/>
      <c r="EG90" s="732"/>
      <c r="EH90" s="732"/>
      <c r="EI90" s="732"/>
      <c r="EJ90" s="732"/>
      <c r="EK90" s="732"/>
      <c r="EL90" s="732"/>
      <c r="EM90" s="732"/>
      <c r="EN90" s="732"/>
      <c r="EO90" s="732"/>
      <c r="EP90" s="732"/>
      <c r="EQ90" s="732"/>
      <c r="ER90" s="732"/>
      <c r="ES90" s="732"/>
      <c r="ET90" s="732"/>
      <c r="EU90" s="732"/>
      <c r="EV90" s="732"/>
      <c r="EW90" s="732"/>
      <c r="EX90" s="732"/>
      <c r="EY90" s="732"/>
      <c r="EZ90" s="732"/>
      <c r="FA90" s="732"/>
      <c r="FB90" s="732"/>
      <c r="FC90" s="732"/>
      <c r="FD90" s="732"/>
      <c r="FE90" s="732"/>
      <c r="FF90" s="732"/>
      <c r="FG90" s="732"/>
      <c r="FH90" s="732"/>
      <c r="FI90" s="732"/>
      <c r="FJ90" s="732"/>
      <c r="FK90" s="732"/>
      <c r="FL90" s="732"/>
      <c r="FM90" s="732"/>
      <c r="FN90" s="732"/>
      <c r="FO90" s="732"/>
      <c r="FP90" s="732"/>
      <c r="FQ90" s="732"/>
      <c r="FR90" s="732"/>
      <c r="FS90" s="732"/>
      <c r="FT90" s="732"/>
      <c r="FU90" s="732"/>
      <c r="FV90" s="732"/>
      <c r="FW90" s="732"/>
      <c r="FX90" s="732"/>
      <c r="FY90" s="732"/>
      <c r="FZ90" s="732"/>
      <c r="GA90" s="732"/>
      <c r="GB90" s="732"/>
      <c r="GC90" s="732"/>
      <c r="GD90" s="732"/>
      <c r="GE90" s="732"/>
      <c r="GF90" s="732"/>
      <c r="GG90" s="732"/>
      <c r="GH90" s="732"/>
      <c r="GI90" s="732"/>
      <c r="GJ90" s="732"/>
      <c r="GK90" s="732"/>
      <c r="GL90" s="732"/>
      <c r="GM90" s="732"/>
      <c r="GN90" s="732"/>
      <c r="GO90" s="732"/>
      <c r="GP90" s="732"/>
      <c r="GQ90" s="732"/>
      <c r="GR90" s="732"/>
      <c r="GS90" s="732"/>
      <c r="GT90" s="732"/>
      <c r="GU90" s="732"/>
      <c r="GV90" s="732"/>
      <c r="GW90" s="732"/>
      <c r="GX90" s="732"/>
      <c r="GY90" s="732"/>
      <c r="GZ90" s="732"/>
      <c r="HA90" s="732"/>
      <c r="HB90" s="732"/>
      <c r="HC90" s="732"/>
      <c r="HD90" s="732"/>
      <c r="HE90" s="732"/>
      <c r="HF90" s="732"/>
      <c r="HG90" s="732"/>
      <c r="HH90" s="732"/>
      <c r="HI90" s="732"/>
      <c r="HJ90" s="732"/>
      <c r="HK90" s="732"/>
      <c r="HL90" s="732"/>
      <c r="HM90" s="732"/>
      <c r="HN90" s="732"/>
      <c r="HO90" s="732"/>
      <c r="HP90" s="732"/>
      <c r="HQ90" s="732"/>
      <c r="HR90" s="732"/>
      <c r="HS90" s="732"/>
      <c r="HT90" s="732"/>
      <c r="HU90" s="732"/>
      <c r="HV90" s="732"/>
      <c r="HW90" s="732"/>
      <c r="HX90" s="732"/>
      <c r="HY90" s="732"/>
      <c r="HZ90" s="732"/>
      <c r="IA90" s="732"/>
      <c r="IB90" s="732"/>
      <c r="IC90" s="732"/>
      <c r="ID90" s="732"/>
      <c r="IE90" s="732"/>
      <c r="IF90" s="732"/>
      <c r="IG90" s="732"/>
      <c r="IH90" s="732"/>
      <c r="II90" s="732"/>
      <c r="IJ90" s="732"/>
      <c r="IK90" s="732"/>
      <c r="IL90" s="732"/>
      <c r="IM90" s="732"/>
      <c r="IN90" s="732"/>
      <c r="IO90" s="732"/>
      <c r="IP90" s="732"/>
      <c r="IQ90" s="732"/>
      <c r="IR90" s="732"/>
      <c r="IS90" s="732"/>
    </row>
    <row r="91" s="563" customFormat="1" ht="15" spans="1:253">
      <c r="A91" s="719"/>
      <c r="B91" s="657"/>
      <c r="C91" s="698"/>
      <c r="D91" s="716"/>
      <c r="E91" s="694"/>
      <c r="F91" s="694"/>
      <c r="G91" s="694"/>
      <c r="H91" s="711"/>
      <c r="I91" s="711"/>
      <c r="J91" s="711"/>
      <c r="K91" s="711"/>
      <c r="L91" s="711"/>
      <c r="M91" s="695"/>
      <c r="N91" s="729"/>
      <c r="O91" s="729"/>
      <c r="P91" s="729"/>
      <c r="Q91" s="729"/>
      <c r="R91" s="729"/>
      <c r="S91" s="729"/>
      <c r="T91" s="729"/>
      <c r="U91" s="729"/>
      <c r="V91" s="729"/>
      <c r="W91" s="729"/>
      <c r="X91" s="729"/>
      <c r="Y91" s="729"/>
      <c r="Z91" s="729"/>
      <c r="AA91" s="729"/>
      <c r="AB91" s="729"/>
      <c r="AC91" s="729"/>
      <c r="AD91" s="729"/>
      <c r="AE91" s="729"/>
      <c r="AF91" s="729"/>
      <c r="AG91" s="729"/>
      <c r="AH91" s="729"/>
      <c r="AI91" s="729"/>
      <c r="AJ91" s="729"/>
      <c r="AK91" s="729"/>
      <c r="AL91" s="729"/>
      <c r="AM91" s="729"/>
      <c r="AN91" s="729"/>
      <c r="AO91" s="729"/>
      <c r="AP91" s="729"/>
      <c r="AQ91" s="729"/>
      <c r="AR91" s="729"/>
      <c r="AS91" s="729"/>
      <c r="AT91" s="729"/>
      <c r="AU91" s="729"/>
      <c r="AV91" s="729"/>
      <c r="AW91" s="729"/>
      <c r="AX91" s="729"/>
      <c r="AY91" s="729"/>
      <c r="AZ91" s="729"/>
      <c r="BA91" s="729"/>
      <c r="BB91" s="729"/>
      <c r="BC91" s="729"/>
      <c r="BD91" s="729"/>
      <c r="BE91" s="729"/>
      <c r="BF91" s="729"/>
      <c r="BG91" s="729"/>
      <c r="BH91" s="729"/>
      <c r="BI91" s="729"/>
      <c r="BJ91" s="729"/>
      <c r="BK91" s="729"/>
      <c r="BL91" s="729"/>
      <c r="BM91" s="729"/>
      <c r="BN91" s="729"/>
      <c r="BO91" s="729"/>
      <c r="BP91" s="729"/>
      <c r="BQ91" s="729"/>
      <c r="BR91" s="729"/>
      <c r="BS91" s="729"/>
      <c r="BT91" s="729"/>
      <c r="BU91" s="729"/>
      <c r="BV91" s="729"/>
      <c r="BW91" s="732"/>
      <c r="BX91" s="732"/>
      <c r="BY91" s="732"/>
      <c r="BZ91" s="732"/>
      <c r="CA91" s="732"/>
      <c r="CB91" s="732"/>
      <c r="CC91" s="732"/>
      <c r="CD91" s="732"/>
      <c r="CE91" s="732"/>
      <c r="CF91" s="732"/>
      <c r="CG91" s="732"/>
      <c r="CH91" s="732"/>
      <c r="CI91" s="732"/>
      <c r="CJ91" s="732"/>
      <c r="CK91" s="732"/>
      <c r="CL91" s="732"/>
      <c r="CM91" s="732"/>
      <c r="CN91" s="732"/>
      <c r="CO91" s="732"/>
      <c r="CP91" s="732"/>
      <c r="CQ91" s="732"/>
      <c r="CR91" s="732"/>
      <c r="CS91" s="732"/>
      <c r="CT91" s="732"/>
      <c r="CU91" s="732"/>
      <c r="CV91" s="732"/>
      <c r="CW91" s="732"/>
      <c r="CX91" s="732"/>
      <c r="CY91" s="732"/>
      <c r="CZ91" s="732"/>
      <c r="DA91" s="732"/>
      <c r="DB91" s="732"/>
      <c r="DC91" s="732"/>
      <c r="DD91" s="732"/>
      <c r="DE91" s="732"/>
      <c r="DF91" s="732"/>
      <c r="DG91" s="732"/>
      <c r="DH91" s="732"/>
      <c r="DI91" s="732"/>
      <c r="DJ91" s="732"/>
      <c r="DK91" s="732"/>
      <c r="DL91" s="732"/>
      <c r="DM91" s="732"/>
      <c r="DN91" s="732"/>
      <c r="DO91" s="732"/>
      <c r="DP91" s="732"/>
      <c r="DQ91" s="732"/>
      <c r="DR91" s="732"/>
      <c r="DS91" s="732"/>
      <c r="DT91" s="732"/>
      <c r="DU91" s="732"/>
      <c r="DV91" s="732"/>
      <c r="DW91" s="732"/>
      <c r="DX91" s="732"/>
      <c r="DY91" s="732"/>
      <c r="DZ91" s="732"/>
      <c r="EA91" s="732"/>
      <c r="EB91" s="732"/>
      <c r="EC91" s="732"/>
      <c r="ED91" s="732"/>
      <c r="EE91" s="732"/>
      <c r="EF91" s="732"/>
      <c r="EG91" s="732"/>
      <c r="EH91" s="732"/>
      <c r="EI91" s="732"/>
      <c r="EJ91" s="732"/>
      <c r="EK91" s="732"/>
      <c r="EL91" s="732"/>
      <c r="EM91" s="732"/>
      <c r="EN91" s="732"/>
      <c r="EO91" s="732"/>
      <c r="EP91" s="732"/>
      <c r="EQ91" s="732"/>
      <c r="ER91" s="732"/>
      <c r="ES91" s="732"/>
      <c r="ET91" s="732"/>
      <c r="EU91" s="732"/>
      <c r="EV91" s="732"/>
      <c r="EW91" s="732"/>
      <c r="EX91" s="732"/>
      <c r="EY91" s="732"/>
      <c r="EZ91" s="732"/>
      <c r="FA91" s="732"/>
      <c r="FB91" s="732"/>
      <c r="FC91" s="732"/>
      <c r="FD91" s="732"/>
      <c r="FE91" s="732"/>
      <c r="FF91" s="732"/>
      <c r="FG91" s="732"/>
      <c r="FH91" s="732"/>
      <c r="FI91" s="732"/>
      <c r="FJ91" s="732"/>
      <c r="FK91" s="732"/>
      <c r="FL91" s="732"/>
      <c r="FM91" s="732"/>
      <c r="FN91" s="732"/>
      <c r="FO91" s="732"/>
      <c r="FP91" s="732"/>
      <c r="FQ91" s="732"/>
      <c r="FR91" s="732"/>
      <c r="FS91" s="732"/>
      <c r="FT91" s="732"/>
      <c r="FU91" s="732"/>
      <c r="FV91" s="732"/>
      <c r="FW91" s="732"/>
      <c r="FX91" s="732"/>
      <c r="FY91" s="732"/>
      <c r="FZ91" s="732"/>
      <c r="GA91" s="732"/>
      <c r="GB91" s="732"/>
      <c r="GC91" s="732"/>
      <c r="GD91" s="732"/>
      <c r="GE91" s="732"/>
      <c r="GF91" s="732"/>
      <c r="GG91" s="732"/>
      <c r="GH91" s="732"/>
      <c r="GI91" s="732"/>
      <c r="GJ91" s="732"/>
      <c r="GK91" s="732"/>
      <c r="GL91" s="732"/>
      <c r="GM91" s="732"/>
      <c r="GN91" s="732"/>
      <c r="GO91" s="732"/>
      <c r="GP91" s="732"/>
      <c r="GQ91" s="732"/>
      <c r="GR91" s="732"/>
      <c r="GS91" s="732"/>
      <c r="GT91" s="732"/>
      <c r="GU91" s="732"/>
      <c r="GV91" s="732"/>
      <c r="GW91" s="732"/>
      <c r="GX91" s="732"/>
      <c r="GY91" s="732"/>
      <c r="GZ91" s="732"/>
      <c r="HA91" s="732"/>
      <c r="HB91" s="732"/>
      <c r="HC91" s="732"/>
      <c r="HD91" s="732"/>
      <c r="HE91" s="732"/>
      <c r="HF91" s="732"/>
      <c r="HG91" s="732"/>
      <c r="HH91" s="732"/>
      <c r="HI91" s="732"/>
      <c r="HJ91" s="732"/>
      <c r="HK91" s="732"/>
      <c r="HL91" s="732"/>
      <c r="HM91" s="732"/>
      <c r="HN91" s="732"/>
      <c r="HO91" s="732"/>
      <c r="HP91" s="732"/>
      <c r="HQ91" s="732"/>
      <c r="HR91" s="732"/>
      <c r="HS91" s="732"/>
      <c r="HT91" s="732"/>
      <c r="HU91" s="732"/>
      <c r="HV91" s="732"/>
      <c r="HW91" s="732"/>
      <c r="HX91" s="732"/>
      <c r="HY91" s="732"/>
      <c r="HZ91" s="732"/>
      <c r="IA91" s="732"/>
      <c r="IB91" s="732"/>
      <c r="IC91" s="732"/>
      <c r="ID91" s="732"/>
      <c r="IE91" s="732"/>
      <c r="IF91" s="732"/>
      <c r="IG91" s="732"/>
      <c r="IH91" s="732"/>
      <c r="II91" s="732"/>
      <c r="IJ91" s="732"/>
      <c r="IK91" s="732"/>
      <c r="IL91" s="732"/>
      <c r="IM91" s="732"/>
      <c r="IN91" s="732"/>
      <c r="IO91" s="732"/>
      <c r="IP91" s="732"/>
      <c r="IQ91" s="732"/>
      <c r="IR91" s="732"/>
      <c r="IS91" s="732"/>
    </row>
    <row r="92" s="563" customFormat="1" ht="15" spans="1:253">
      <c r="A92" s="721"/>
      <c r="B92" s="724"/>
      <c r="C92" s="725" t="s">
        <v>166</v>
      </c>
      <c r="D92" s="726"/>
      <c r="E92" s="720"/>
      <c r="F92" s="694"/>
      <c r="G92" s="694"/>
      <c r="H92" s="711"/>
      <c r="I92" s="711"/>
      <c r="J92" s="711"/>
      <c r="K92" s="711"/>
      <c r="L92" s="711"/>
      <c r="M92" s="695">
        <f t="shared" ref="M92:M99" si="9">$F$432</f>
        <v>997182.95</v>
      </c>
      <c r="N92" s="729"/>
      <c r="O92" s="729"/>
      <c r="P92" s="729"/>
      <c r="Q92" s="729"/>
      <c r="R92" s="729"/>
      <c r="S92" s="729"/>
      <c r="T92" s="729"/>
      <c r="U92" s="729"/>
      <c r="V92" s="729"/>
      <c r="W92" s="729"/>
      <c r="X92" s="729"/>
      <c r="Y92" s="729"/>
      <c r="Z92" s="729"/>
      <c r="AA92" s="729"/>
      <c r="AB92" s="729"/>
      <c r="AC92" s="729"/>
      <c r="AD92" s="729"/>
      <c r="AE92" s="729"/>
      <c r="AF92" s="729"/>
      <c r="AG92" s="729"/>
      <c r="AH92" s="729"/>
      <c r="AI92" s="729"/>
      <c r="AJ92" s="729"/>
      <c r="AK92" s="729"/>
      <c r="AL92" s="729"/>
      <c r="AM92" s="729"/>
      <c r="AN92" s="729"/>
      <c r="AO92" s="729"/>
      <c r="AP92" s="729"/>
      <c r="AQ92" s="729"/>
      <c r="AR92" s="729"/>
      <c r="AS92" s="729"/>
      <c r="AT92" s="729"/>
      <c r="AU92" s="729"/>
      <c r="AV92" s="729"/>
      <c r="AW92" s="729"/>
      <c r="AX92" s="729"/>
      <c r="AY92" s="729"/>
      <c r="AZ92" s="729"/>
      <c r="BA92" s="729"/>
      <c r="BB92" s="729"/>
      <c r="BC92" s="729"/>
      <c r="BD92" s="729"/>
      <c r="BE92" s="729"/>
      <c r="BF92" s="729"/>
      <c r="BG92" s="729"/>
      <c r="BH92" s="729"/>
      <c r="BI92" s="729"/>
      <c r="BJ92" s="729"/>
      <c r="BK92" s="729"/>
      <c r="BL92" s="729"/>
      <c r="BM92" s="729"/>
      <c r="BN92" s="729"/>
      <c r="BO92" s="729"/>
      <c r="BP92" s="729"/>
      <c r="BQ92" s="729"/>
      <c r="BR92" s="729"/>
      <c r="BS92" s="729"/>
      <c r="BT92" s="729"/>
      <c r="BU92" s="729"/>
      <c r="BV92" s="729"/>
      <c r="BW92" s="732"/>
      <c r="BX92" s="732"/>
      <c r="BY92" s="732"/>
      <c r="BZ92" s="732"/>
      <c r="CA92" s="732"/>
      <c r="CB92" s="732"/>
      <c r="CC92" s="732"/>
      <c r="CD92" s="732"/>
      <c r="CE92" s="732"/>
      <c r="CF92" s="732"/>
      <c r="CG92" s="732"/>
      <c r="CH92" s="732"/>
      <c r="CI92" s="732"/>
      <c r="CJ92" s="732"/>
      <c r="CK92" s="732"/>
      <c r="CL92" s="732"/>
      <c r="CM92" s="732"/>
      <c r="CN92" s="732"/>
      <c r="CO92" s="732"/>
      <c r="CP92" s="732"/>
      <c r="CQ92" s="732"/>
      <c r="CR92" s="732"/>
      <c r="CS92" s="732"/>
      <c r="CT92" s="732"/>
      <c r="CU92" s="732"/>
      <c r="CV92" s="732"/>
      <c r="CW92" s="732"/>
      <c r="CX92" s="732"/>
      <c r="CY92" s="732"/>
      <c r="CZ92" s="732"/>
      <c r="DA92" s="732"/>
      <c r="DB92" s="732"/>
      <c r="DC92" s="732"/>
      <c r="DD92" s="732"/>
      <c r="DE92" s="732"/>
      <c r="DF92" s="732"/>
      <c r="DG92" s="732"/>
      <c r="DH92" s="732"/>
      <c r="DI92" s="732"/>
      <c r="DJ92" s="732"/>
      <c r="DK92" s="732"/>
      <c r="DL92" s="732"/>
      <c r="DM92" s="732"/>
      <c r="DN92" s="732"/>
      <c r="DO92" s="732"/>
      <c r="DP92" s="732"/>
      <c r="DQ92" s="732"/>
      <c r="DR92" s="732"/>
      <c r="DS92" s="732"/>
      <c r="DT92" s="732"/>
      <c r="DU92" s="732"/>
      <c r="DV92" s="732"/>
      <c r="DW92" s="732"/>
      <c r="DX92" s="732"/>
      <c r="DY92" s="732"/>
      <c r="DZ92" s="732"/>
      <c r="EA92" s="732"/>
      <c r="EB92" s="732"/>
      <c r="EC92" s="732"/>
      <c r="ED92" s="732"/>
      <c r="EE92" s="732"/>
      <c r="EF92" s="732"/>
      <c r="EG92" s="732"/>
      <c r="EH92" s="732"/>
      <c r="EI92" s="732"/>
      <c r="EJ92" s="732"/>
      <c r="EK92" s="732"/>
      <c r="EL92" s="732"/>
      <c r="EM92" s="732"/>
      <c r="EN92" s="732"/>
      <c r="EO92" s="732"/>
      <c r="EP92" s="732"/>
      <c r="EQ92" s="732"/>
      <c r="ER92" s="732"/>
      <c r="ES92" s="732"/>
      <c r="ET92" s="732"/>
      <c r="EU92" s="732"/>
      <c r="EV92" s="732"/>
      <c r="EW92" s="732"/>
      <c r="EX92" s="732"/>
      <c r="EY92" s="732"/>
      <c r="EZ92" s="732"/>
      <c r="FA92" s="732"/>
      <c r="FB92" s="732"/>
      <c r="FC92" s="732"/>
      <c r="FD92" s="732"/>
      <c r="FE92" s="732"/>
      <c r="FF92" s="732"/>
      <c r="FG92" s="732"/>
      <c r="FH92" s="732"/>
      <c r="FI92" s="732"/>
      <c r="FJ92" s="732"/>
      <c r="FK92" s="732"/>
      <c r="FL92" s="732"/>
      <c r="FM92" s="732"/>
      <c r="FN92" s="732"/>
      <c r="FO92" s="732"/>
      <c r="FP92" s="732"/>
      <c r="FQ92" s="732"/>
      <c r="FR92" s="732"/>
      <c r="FS92" s="732"/>
      <c r="FT92" s="732"/>
      <c r="FU92" s="732"/>
      <c r="FV92" s="732"/>
      <c r="FW92" s="732"/>
      <c r="FX92" s="732"/>
      <c r="FY92" s="732"/>
      <c r="FZ92" s="732"/>
      <c r="GA92" s="732"/>
      <c r="GB92" s="732"/>
      <c r="GC92" s="732"/>
      <c r="GD92" s="732"/>
      <c r="GE92" s="732"/>
      <c r="GF92" s="732"/>
      <c r="GG92" s="732"/>
      <c r="GH92" s="732"/>
      <c r="GI92" s="732"/>
      <c r="GJ92" s="732"/>
      <c r="GK92" s="732"/>
      <c r="GL92" s="732"/>
      <c r="GM92" s="732"/>
      <c r="GN92" s="732"/>
      <c r="GO92" s="732"/>
      <c r="GP92" s="732"/>
      <c r="GQ92" s="732"/>
      <c r="GR92" s="732"/>
      <c r="GS92" s="732"/>
      <c r="GT92" s="732"/>
      <c r="GU92" s="732"/>
      <c r="GV92" s="732"/>
      <c r="GW92" s="732"/>
      <c r="GX92" s="732"/>
      <c r="GY92" s="732"/>
      <c r="GZ92" s="732"/>
      <c r="HA92" s="732"/>
      <c r="HB92" s="732"/>
      <c r="HC92" s="732"/>
      <c r="HD92" s="732"/>
      <c r="HE92" s="732"/>
      <c r="HF92" s="732"/>
      <c r="HG92" s="732"/>
      <c r="HH92" s="732"/>
      <c r="HI92" s="732"/>
      <c r="HJ92" s="732"/>
      <c r="HK92" s="732"/>
      <c r="HL92" s="732"/>
      <c r="HM92" s="732"/>
      <c r="HN92" s="732"/>
      <c r="HO92" s="732"/>
      <c r="HP92" s="732"/>
      <c r="HQ92" s="732"/>
      <c r="HR92" s="732"/>
      <c r="HS92" s="732"/>
      <c r="HT92" s="732"/>
      <c r="HU92" s="732"/>
      <c r="HV92" s="732"/>
      <c r="HW92" s="732"/>
      <c r="HX92" s="732"/>
      <c r="HY92" s="732"/>
      <c r="HZ92" s="732"/>
      <c r="IA92" s="732"/>
      <c r="IB92" s="732"/>
      <c r="IC92" s="732"/>
      <c r="ID92" s="732"/>
      <c r="IE92" s="732"/>
      <c r="IF92" s="732"/>
      <c r="IG92" s="732"/>
      <c r="IH92" s="732"/>
      <c r="II92" s="732"/>
      <c r="IJ92" s="732"/>
      <c r="IK92" s="732"/>
      <c r="IL92" s="732"/>
      <c r="IM92" s="732"/>
      <c r="IN92" s="732"/>
      <c r="IO92" s="732"/>
      <c r="IP92" s="732"/>
      <c r="IQ92" s="732"/>
      <c r="IR92" s="732"/>
      <c r="IS92" s="732"/>
    </row>
    <row r="93" s="563" customFormat="1" ht="15" spans="1:253">
      <c r="A93" s="721"/>
      <c r="B93" s="722" t="s">
        <v>74</v>
      </c>
      <c r="C93" s="723" t="s">
        <v>167</v>
      </c>
      <c r="D93" s="716"/>
      <c r="E93" s="720"/>
      <c r="F93" s="694"/>
      <c r="G93" s="694"/>
      <c r="H93" s="711"/>
      <c r="I93" s="711"/>
      <c r="J93" s="711"/>
      <c r="K93" s="711"/>
      <c r="L93" s="711"/>
      <c r="M93" s="695">
        <f t="shared" si="9"/>
        <v>997182.95</v>
      </c>
      <c r="N93" s="729"/>
      <c r="O93" s="729"/>
      <c r="P93" s="729"/>
      <c r="Q93" s="729"/>
      <c r="R93" s="729"/>
      <c r="S93" s="729"/>
      <c r="T93" s="729"/>
      <c r="U93" s="729"/>
      <c r="V93" s="729"/>
      <c r="W93" s="729"/>
      <c r="X93" s="729"/>
      <c r="Y93" s="729"/>
      <c r="Z93" s="729"/>
      <c r="AA93" s="729"/>
      <c r="AB93" s="729"/>
      <c r="AC93" s="729"/>
      <c r="AD93" s="729"/>
      <c r="AE93" s="729"/>
      <c r="AF93" s="729"/>
      <c r="AG93" s="729"/>
      <c r="AH93" s="729"/>
      <c r="AI93" s="729"/>
      <c r="AJ93" s="729"/>
      <c r="AK93" s="729"/>
      <c r="AL93" s="729"/>
      <c r="AM93" s="729"/>
      <c r="AN93" s="729"/>
      <c r="AO93" s="729"/>
      <c r="AP93" s="729"/>
      <c r="AQ93" s="729"/>
      <c r="AR93" s="729"/>
      <c r="AS93" s="729"/>
      <c r="AT93" s="729"/>
      <c r="AU93" s="729"/>
      <c r="AV93" s="729"/>
      <c r="AW93" s="729"/>
      <c r="AX93" s="729"/>
      <c r="AY93" s="729"/>
      <c r="AZ93" s="729"/>
      <c r="BA93" s="729"/>
      <c r="BB93" s="729"/>
      <c r="BC93" s="729"/>
      <c r="BD93" s="729"/>
      <c r="BE93" s="729"/>
      <c r="BF93" s="729"/>
      <c r="BG93" s="729"/>
      <c r="BH93" s="729"/>
      <c r="BI93" s="729"/>
      <c r="BJ93" s="729"/>
      <c r="BK93" s="729"/>
      <c r="BL93" s="729"/>
      <c r="BM93" s="729"/>
      <c r="BN93" s="729"/>
      <c r="BO93" s="729"/>
      <c r="BP93" s="729"/>
      <c r="BQ93" s="729"/>
      <c r="BR93" s="729"/>
      <c r="BS93" s="729"/>
      <c r="BT93" s="729"/>
      <c r="BU93" s="729"/>
      <c r="BV93" s="729"/>
      <c r="BW93" s="732"/>
      <c r="BX93" s="732"/>
      <c r="BY93" s="732"/>
      <c r="BZ93" s="732"/>
      <c r="CA93" s="732"/>
      <c r="CB93" s="732"/>
      <c r="CC93" s="732"/>
      <c r="CD93" s="732"/>
      <c r="CE93" s="732"/>
      <c r="CF93" s="732"/>
      <c r="CG93" s="732"/>
      <c r="CH93" s="732"/>
      <c r="CI93" s="732"/>
      <c r="CJ93" s="732"/>
      <c r="CK93" s="732"/>
      <c r="CL93" s="732"/>
      <c r="CM93" s="732"/>
      <c r="CN93" s="732"/>
      <c r="CO93" s="732"/>
      <c r="CP93" s="732"/>
      <c r="CQ93" s="732"/>
      <c r="CR93" s="732"/>
      <c r="CS93" s="732"/>
      <c r="CT93" s="732"/>
      <c r="CU93" s="732"/>
      <c r="CV93" s="732"/>
      <c r="CW93" s="732"/>
      <c r="CX93" s="732"/>
      <c r="CY93" s="732"/>
      <c r="CZ93" s="732"/>
      <c r="DA93" s="732"/>
      <c r="DB93" s="732"/>
      <c r="DC93" s="732"/>
      <c r="DD93" s="732"/>
      <c r="DE93" s="732"/>
      <c r="DF93" s="732"/>
      <c r="DG93" s="732"/>
      <c r="DH93" s="732"/>
      <c r="DI93" s="732"/>
      <c r="DJ93" s="732"/>
      <c r="DK93" s="732"/>
      <c r="DL93" s="732"/>
      <c r="DM93" s="732"/>
      <c r="DN93" s="732"/>
      <c r="DO93" s="732"/>
      <c r="DP93" s="732"/>
      <c r="DQ93" s="732"/>
      <c r="DR93" s="732"/>
      <c r="DS93" s="732"/>
      <c r="DT93" s="732"/>
      <c r="DU93" s="732"/>
      <c r="DV93" s="732"/>
      <c r="DW93" s="732"/>
      <c r="DX93" s="732"/>
      <c r="DY93" s="732"/>
      <c r="DZ93" s="732"/>
      <c r="EA93" s="732"/>
      <c r="EB93" s="732"/>
      <c r="EC93" s="732"/>
      <c r="ED93" s="732"/>
      <c r="EE93" s="732"/>
      <c r="EF93" s="732"/>
      <c r="EG93" s="732"/>
      <c r="EH93" s="732"/>
      <c r="EI93" s="732"/>
      <c r="EJ93" s="732"/>
      <c r="EK93" s="732"/>
      <c r="EL93" s="732"/>
      <c r="EM93" s="732"/>
      <c r="EN93" s="732"/>
      <c r="EO93" s="732"/>
      <c r="EP93" s="732"/>
      <c r="EQ93" s="732"/>
      <c r="ER93" s="732"/>
      <c r="ES93" s="732"/>
      <c r="ET93" s="732"/>
      <c r="EU93" s="732"/>
      <c r="EV93" s="732"/>
      <c r="EW93" s="732"/>
      <c r="EX93" s="732"/>
      <c r="EY93" s="732"/>
      <c r="EZ93" s="732"/>
      <c r="FA93" s="732"/>
      <c r="FB93" s="732"/>
      <c r="FC93" s="732"/>
      <c r="FD93" s="732"/>
      <c r="FE93" s="732"/>
      <c r="FF93" s="732"/>
      <c r="FG93" s="732"/>
      <c r="FH93" s="732"/>
      <c r="FI93" s="732"/>
      <c r="FJ93" s="732"/>
      <c r="FK93" s="732"/>
      <c r="FL93" s="732"/>
      <c r="FM93" s="732"/>
      <c r="FN93" s="732"/>
      <c r="FO93" s="732"/>
      <c r="FP93" s="732"/>
      <c r="FQ93" s="732"/>
      <c r="FR93" s="732"/>
      <c r="FS93" s="732"/>
      <c r="FT93" s="732"/>
      <c r="FU93" s="732"/>
      <c r="FV93" s="732"/>
      <c r="FW93" s="732"/>
      <c r="FX93" s="732"/>
      <c r="FY93" s="732"/>
      <c r="FZ93" s="732"/>
      <c r="GA93" s="732"/>
      <c r="GB93" s="732"/>
      <c r="GC93" s="732"/>
      <c r="GD93" s="732"/>
      <c r="GE93" s="732"/>
      <c r="GF93" s="732"/>
      <c r="GG93" s="732"/>
      <c r="GH93" s="732"/>
      <c r="GI93" s="732"/>
      <c r="GJ93" s="732"/>
      <c r="GK93" s="732"/>
      <c r="GL93" s="732"/>
      <c r="GM93" s="732"/>
      <c r="GN93" s="732"/>
      <c r="GO93" s="732"/>
      <c r="GP93" s="732"/>
      <c r="GQ93" s="732"/>
      <c r="GR93" s="732"/>
      <c r="GS93" s="732"/>
      <c r="GT93" s="732"/>
      <c r="GU93" s="732"/>
      <c r="GV93" s="732"/>
      <c r="GW93" s="732"/>
      <c r="GX93" s="732"/>
      <c r="GY93" s="732"/>
      <c r="GZ93" s="732"/>
      <c r="HA93" s="732"/>
      <c r="HB93" s="732"/>
      <c r="HC93" s="732"/>
      <c r="HD93" s="732"/>
      <c r="HE93" s="732"/>
      <c r="HF93" s="732"/>
      <c r="HG93" s="732"/>
      <c r="HH93" s="732"/>
      <c r="HI93" s="732"/>
      <c r="HJ93" s="732"/>
      <c r="HK93" s="732"/>
      <c r="HL93" s="732"/>
      <c r="HM93" s="732"/>
      <c r="HN93" s="732"/>
      <c r="HO93" s="732"/>
      <c r="HP93" s="732"/>
      <c r="HQ93" s="732"/>
      <c r="HR93" s="732"/>
      <c r="HS93" s="732"/>
      <c r="HT93" s="732"/>
      <c r="HU93" s="732"/>
      <c r="HV93" s="732"/>
      <c r="HW93" s="732"/>
      <c r="HX93" s="732"/>
      <c r="HY93" s="732"/>
      <c r="HZ93" s="732"/>
      <c r="IA93" s="732"/>
      <c r="IB93" s="732"/>
      <c r="IC93" s="732"/>
      <c r="ID93" s="732"/>
      <c r="IE93" s="732"/>
      <c r="IF93" s="732"/>
      <c r="IG93" s="732"/>
      <c r="IH93" s="732"/>
      <c r="II93" s="732"/>
      <c r="IJ93" s="732"/>
      <c r="IK93" s="732"/>
      <c r="IL93" s="732"/>
      <c r="IM93" s="732"/>
      <c r="IN93" s="732"/>
      <c r="IO93" s="732"/>
      <c r="IP93" s="732"/>
      <c r="IQ93" s="732"/>
      <c r="IR93" s="732"/>
      <c r="IS93" s="732"/>
    </row>
    <row r="94" s="563" customFormat="1" ht="15" spans="1:253">
      <c r="A94" s="719" t="s">
        <v>114</v>
      </c>
      <c r="B94" s="657" t="s">
        <v>168</v>
      </c>
      <c r="C94" s="698" t="s">
        <v>141</v>
      </c>
      <c r="D94" s="716" t="s">
        <v>23</v>
      </c>
      <c r="E94" s="720">
        <f>'PB VI - Memorial'!B108</f>
        <v>8.4</v>
      </c>
      <c r="F94" s="694">
        <f>F81</f>
        <v>393.85</v>
      </c>
      <c r="G94" s="694">
        <f t="shared" si="5"/>
        <v>3308.34</v>
      </c>
      <c r="H94" s="711"/>
      <c r="I94" s="711"/>
      <c r="J94" s="711"/>
      <c r="K94" s="711"/>
      <c r="L94" s="711"/>
      <c r="M94" s="695">
        <f t="shared" si="9"/>
        <v>997182.95</v>
      </c>
      <c r="N94" s="729"/>
      <c r="O94" s="729"/>
      <c r="P94" s="729"/>
      <c r="Q94" s="729"/>
      <c r="R94" s="729"/>
      <c r="S94" s="729"/>
      <c r="T94" s="729"/>
      <c r="U94" s="729"/>
      <c r="V94" s="729"/>
      <c r="W94" s="729"/>
      <c r="X94" s="729"/>
      <c r="Y94" s="729"/>
      <c r="Z94" s="729"/>
      <c r="AA94" s="729"/>
      <c r="AB94" s="729"/>
      <c r="AC94" s="729"/>
      <c r="AD94" s="729"/>
      <c r="AE94" s="729"/>
      <c r="AF94" s="729"/>
      <c r="AG94" s="729"/>
      <c r="AH94" s="729"/>
      <c r="AI94" s="729"/>
      <c r="AJ94" s="729"/>
      <c r="AK94" s="729"/>
      <c r="AL94" s="729"/>
      <c r="AM94" s="729"/>
      <c r="AN94" s="729"/>
      <c r="AO94" s="729"/>
      <c r="AP94" s="729"/>
      <c r="AQ94" s="729"/>
      <c r="AR94" s="729"/>
      <c r="AS94" s="729"/>
      <c r="AT94" s="729"/>
      <c r="AU94" s="729"/>
      <c r="AV94" s="729"/>
      <c r="AW94" s="729"/>
      <c r="AX94" s="729"/>
      <c r="AY94" s="729"/>
      <c r="AZ94" s="729"/>
      <c r="BA94" s="729"/>
      <c r="BB94" s="729"/>
      <c r="BC94" s="729"/>
      <c r="BD94" s="729"/>
      <c r="BE94" s="729"/>
      <c r="BF94" s="729"/>
      <c r="BG94" s="729"/>
      <c r="BH94" s="729"/>
      <c r="BI94" s="729"/>
      <c r="BJ94" s="729"/>
      <c r="BK94" s="729"/>
      <c r="BL94" s="729"/>
      <c r="BM94" s="729"/>
      <c r="BN94" s="729"/>
      <c r="BO94" s="729"/>
      <c r="BP94" s="729"/>
      <c r="BQ94" s="729"/>
      <c r="BR94" s="729"/>
      <c r="BS94" s="729"/>
      <c r="BT94" s="729"/>
      <c r="BU94" s="729"/>
      <c r="BV94" s="729"/>
      <c r="BW94" s="732"/>
      <c r="BX94" s="732"/>
      <c r="BY94" s="732"/>
      <c r="BZ94" s="732"/>
      <c r="CA94" s="732"/>
      <c r="CB94" s="732"/>
      <c r="CC94" s="732"/>
      <c r="CD94" s="732"/>
      <c r="CE94" s="732"/>
      <c r="CF94" s="732"/>
      <c r="CG94" s="732"/>
      <c r="CH94" s="732"/>
      <c r="CI94" s="732"/>
      <c r="CJ94" s="732"/>
      <c r="CK94" s="732"/>
      <c r="CL94" s="732"/>
      <c r="CM94" s="732"/>
      <c r="CN94" s="732"/>
      <c r="CO94" s="732"/>
      <c r="CP94" s="732"/>
      <c r="CQ94" s="732"/>
      <c r="CR94" s="732"/>
      <c r="CS94" s="732"/>
      <c r="CT94" s="732"/>
      <c r="CU94" s="732"/>
      <c r="CV94" s="732"/>
      <c r="CW94" s="732"/>
      <c r="CX94" s="732"/>
      <c r="CY94" s="732"/>
      <c r="CZ94" s="732"/>
      <c r="DA94" s="732"/>
      <c r="DB94" s="732"/>
      <c r="DC94" s="732"/>
      <c r="DD94" s="732"/>
      <c r="DE94" s="732"/>
      <c r="DF94" s="732"/>
      <c r="DG94" s="732"/>
      <c r="DH94" s="732"/>
      <c r="DI94" s="732"/>
      <c r="DJ94" s="732"/>
      <c r="DK94" s="732"/>
      <c r="DL94" s="732"/>
      <c r="DM94" s="732"/>
      <c r="DN94" s="732"/>
      <c r="DO94" s="732"/>
      <c r="DP94" s="732"/>
      <c r="DQ94" s="732"/>
      <c r="DR94" s="732"/>
      <c r="DS94" s="732"/>
      <c r="DT94" s="732"/>
      <c r="DU94" s="732"/>
      <c r="DV94" s="732"/>
      <c r="DW94" s="732"/>
      <c r="DX94" s="732"/>
      <c r="DY94" s="732"/>
      <c r="DZ94" s="732"/>
      <c r="EA94" s="732"/>
      <c r="EB94" s="732"/>
      <c r="EC94" s="732"/>
      <c r="ED94" s="732"/>
      <c r="EE94" s="732"/>
      <c r="EF94" s="732"/>
      <c r="EG94" s="732"/>
      <c r="EH94" s="732"/>
      <c r="EI94" s="732"/>
      <c r="EJ94" s="732"/>
      <c r="EK94" s="732"/>
      <c r="EL94" s="732"/>
      <c r="EM94" s="732"/>
      <c r="EN94" s="732"/>
      <c r="EO94" s="732"/>
      <c r="EP94" s="732"/>
      <c r="EQ94" s="732"/>
      <c r="ER94" s="732"/>
      <c r="ES94" s="732"/>
      <c r="ET94" s="732"/>
      <c r="EU94" s="732"/>
      <c r="EV94" s="732"/>
      <c r="EW94" s="732"/>
      <c r="EX94" s="732"/>
      <c r="EY94" s="732"/>
      <c r="EZ94" s="732"/>
      <c r="FA94" s="732"/>
      <c r="FB94" s="732"/>
      <c r="FC94" s="732"/>
      <c r="FD94" s="732"/>
      <c r="FE94" s="732"/>
      <c r="FF94" s="732"/>
      <c r="FG94" s="732"/>
      <c r="FH94" s="732"/>
      <c r="FI94" s="732"/>
      <c r="FJ94" s="732"/>
      <c r="FK94" s="732"/>
      <c r="FL94" s="732"/>
      <c r="FM94" s="732"/>
      <c r="FN94" s="732"/>
      <c r="FO94" s="732"/>
      <c r="FP94" s="732"/>
      <c r="FQ94" s="732"/>
      <c r="FR94" s="732"/>
      <c r="FS94" s="732"/>
      <c r="FT94" s="732"/>
      <c r="FU94" s="732"/>
      <c r="FV94" s="732"/>
      <c r="FW94" s="732"/>
      <c r="FX94" s="732"/>
      <c r="FY94" s="732"/>
      <c r="FZ94" s="732"/>
      <c r="GA94" s="732"/>
      <c r="GB94" s="732"/>
      <c r="GC94" s="732"/>
      <c r="GD94" s="732"/>
      <c r="GE94" s="732"/>
      <c r="GF94" s="732"/>
      <c r="GG94" s="732"/>
      <c r="GH94" s="732"/>
      <c r="GI94" s="732"/>
      <c r="GJ94" s="732"/>
      <c r="GK94" s="732"/>
      <c r="GL94" s="732"/>
      <c r="GM94" s="732"/>
      <c r="GN94" s="732"/>
      <c r="GO94" s="732"/>
      <c r="GP94" s="732"/>
      <c r="GQ94" s="732"/>
      <c r="GR94" s="732"/>
      <c r="GS94" s="732"/>
      <c r="GT94" s="732"/>
      <c r="GU94" s="732"/>
      <c r="GV94" s="732"/>
      <c r="GW94" s="732"/>
      <c r="GX94" s="732"/>
      <c r="GY94" s="732"/>
      <c r="GZ94" s="732"/>
      <c r="HA94" s="732"/>
      <c r="HB94" s="732"/>
      <c r="HC94" s="732"/>
      <c r="HD94" s="732"/>
      <c r="HE94" s="732"/>
      <c r="HF94" s="732"/>
      <c r="HG94" s="732"/>
      <c r="HH94" s="732"/>
      <c r="HI94" s="732"/>
      <c r="HJ94" s="732"/>
      <c r="HK94" s="732"/>
      <c r="HL94" s="732"/>
      <c r="HM94" s="732"/>
      <c r="HN94" s="732"/>
      <c r="HO94" s="732"/>
      <c r="HP94" s="732"/>
      <c r="HQ94" s="732"/>
      <c r="HR94" s="732"/>
      <c r="HS94" s="732"/>
      <c r="HT94" s="732"/>
      <c r="HU94" s="732"/>
      <c r="HV94" s="732"/>
      <c r="HW94" s="732"/>
      <c r="HX94" s="732"/>
      <c r="HY94" s="732"/>
      <c r="HZ94" s="732"/>
      <c r="IA94" s="732"/>
      <c r="IB94" s="732"/>
      <c r="IC94" s="732"/>
      <c r="ID94" s="732"/>
      <c r="IE94" s="732"/>
      <c r="IF94" s="732"/>
      <c r="IG94" s="732"/>
      <c r="IH94" s="732"/>
      <c r="II94" s="732"/>
      <c r="IJ94" s="732"/>
      <c r="IK94" s="732"/>
      <c r="IL94" s="732"/>
      <c r="IM94" s="732"/>
      <c r="IN94" s="732"/>
      <c r="IO94" s="732"/>
      <c r="IP94" s="732"/>
      <c r="IQ94" s="732"/>
      <c r="IR94" s="732"/>
      <c r="IS94" s="732"/>
    </row>
    <row r="95" s="563" customFormat="1" ht="15" spans="1:253">
      <c r="A95" s="719" t="s">
        <v>64</v>
      </c>
      <c r="B95" s="657" t="s">
        <v>169</v>
      </c>
      <c r="C95" s="698" t="s">
        <v>118</v>
      </c>
      <c r="D95" s="716" t="s">
        <v>23</v>
      </c>
      <c r="E95" s="720">
        <f>E94</f>
        <v>8.4</v>
      </c>
      <c r="F95" s="694">
        <f>F82</f>
        <v>143.94</v>
      </c>
      <c r="G95" s="694">
        <f t="shared" si="5"/>
        <v>1209.1</v>
      </c>
      <c r="H95" s="711"/>
      <c r="I95" s="711"/>
      <c r="J95" s="711"/>
      <c r="K95" s="711"/>
      <c r="L95" s="711"/>
      <c r="M95" s="695">
        <f t="shared" si="9"/>
        <v>997182.95</v>
      </c>
      <c r="N95" s="729"/>
      <c r="O95" s="729"/>
      <c r="P95" s="729"/>
      <c r="Q95" s="729"/>
      <c r="R95" s="729"/>
      <c r="S95" s="729"/>
      <c r="T95" s="729"/>
      <c r="U95" s="729"/>
      <c r="V95" s="729"/>
      <c r="W95" s="729"/>
      <c r="X95" s="729"/>
      <c r="Y95" s="729"/>
      <c r="Z95" s="729"/>
      <c r="AA95" s="729"/>
      <c r="AB95" s="729"/>
      <c r="AC95" s="729"/>
      <c r="AD95" s="729"/>
      <c r="AE95" s="729"/>
      <c r="AF95" s="729"/>
      <c r="AG95" s="729"/>
      <c r="AH95" s="729"/>
      <c r="AI95" s="729"/>
      <c r="AJ95" s="729"/>
      <c r="AK95" s="729"/>
      <c r="AL95" s="729"/>
      <c r="AM95" s="729"/>
      <c r="AN95" s="729"/>
      <c r="AO95" s="729"/>
      <c r="AP95" s="729"/>
      <c r="AQ95" s="729"/>
      <c r="AR95" s="729"/>
      <c r="AS95" s="729"/>
      <c r="AT95" s="729"/>
      <c r="AU95" s="729"/>
      <c r="AV95" s="729"/>
      <c r="AW95" s="729"/>
      <c r="AX95" s="729"/>
      <c r="AY95" s="729"/>
      <c r="AZ95" s="729"/>
      <c r="BA95" s="729"/>
      <c r="BB95" s="729"/>
      <c r="BC95" s="729"/>
      <c r="BD95" s="729"/>
      <c r="BE95" s="729"/>
      <c r="BF95" s="729"/>
      <c r="BG95" s="729"/>
      <c r="BH95" s="729"/>
      <c r="BI95" s="729"/>
      <c r="BJ95" s="729"/>
      <c r="BK95" s="729"/>
      <c r="BL95" s="729"/>
      <c r="BM95" s="729"/>
      <c r="BN95" s="729"/>
      <c r="BO95" s="729"/>
      <c r="BP95" s="729"/>
      <c r="BQ95" s="729"/>
      <c r="BR95" s="729"/>
      <c r="BS95" s="729"/>
      <c r="BT95" s="729"/>
      <c r="BU95" s="729"/>
      <c r="BV95" s="729"/>
      <c r="BW95" s="732"/>
      <c r="BX95" s="732"/>
      <c r="BY95" s="732"/>
      <c r="BZ95" s="732"/>
      <c r="CA95" s="732"/>
      <c r="CB95" s="732"/>
      <c r="CC95" s="732"/>
      <c r="CD95" s="732"/>
      <c r="CE95" s="732"/>
      <c r="CF95" s="732"/>
      <c r="CG95" s="732"/>
      <c r="CH95" s="732"/>
      <c r="CI95" s="732"/>
      <c r="CJ95" s="732"/>
      <c r="CK95" s="732"/>
      <c r="CL95" s="732"/>
      <c r="CM95" s="732"/>
      <c r="CN95" s="732"/>
      <c r="CO95" s="732"/>
      <c r="CP95" s="732"/>
      <c r="CQ95" s="732"/>
      <c r="CR95" s="732"/>
      <c r="CS95" s="732"/>
      <c r="CT95" s="732"/>
      <c r="CU95" s="732"/>
      <c r="CV95" s="732"/>
      <c r="CW95" s="732"/>
      <c r="CX95" s="732"/>
      <c r="CY95" s="732"/>
      <c r="CZ95" s="732"/>
      <c r="DA95" s="732"/>
      <c r="DB95" s="732"/>
      <c r="DC95" s="732"/>
      <c r="DD95" s="732"/>
      <c r="DE95" s="732"/>
      <c r="DF95" s="732"/>
      <c r="DG95" s="732"/>
      <c r="DH95" s="732"/>
      <c r="DI95" s="732"/>
      <c r="DJ95" s="732"/>
      <c r="DK95" s="732"/>
      <c r="DL95" s="732"/>
      <c r="DM95" s="732"/>
      <c r="DN95" s="732"/>
      <c r="DO95" s="732"/>
      <c r="DP95" s="732"/>
      <c r="DQ95" s="732"/>
      <c r="DR95" s="732"/>
      <c r="DS95" s="732"/>
      <c r="DT95" s="732"/>
      <c r="DU95" s="732"/>
      <c r="DV95" s="732"/>
      <c r="DW95" s="732"/>
      <c r="DX95" s="732"/>
      <c r="DY95" s="732"/>
      <c r="DZ95" s="732"/>
      <c r="EA95" s="732"/>
      <c r="EB95" s="732"/>
      <c r="EC95" s="732"/>
      <c r="ED95" s="732"/>
      <c r="EE95" s="732"/>
      <c r="EF95" s="732"/>
      <c r="EG95" s="732"/>
      <c r="EH95" s="732"/>
      <c r="EI95" s="732"/>
      <c r="EJ95" s="732"/>
      <c r="EK95" s="732"/>
      <c r="EL95" s="732"/>
      <c r="EM95" s="732"/>
      <c r="EN95" s="732"/>
      <c r="EO95" s="732"/>
      <c r="EP95" s="732"/>
      <c r="EQ95" s="732"/>
      <c r="ER95" s="732"/>
      <c r="ES95" s="732"/>
      <c r="ET95" s="732"/>
      <c r="EU95" s="732"/>
      <c r="EV95" s="732"/>
      <c r="EW95" s="732"/>
      <c r="EX95" s="732"/>
      <c r="EY95" s="732"/>
      <c r="EZ95" s="732"/>
      <c r="FA95" s="732"/>
      <c r="FB95" s="732"/>
      <c r="FC95" s="732"/>
      <c r="FD95" s="732"/>
      <c r="FE95" s="732"/>
      <c r="FF95" s="732"/>
      <c r="FG95" s="732"/>
      <c r="FH95" s="732"/>
      <c r="FI95" s="732"/>
      <c r="FJ95" s="732"/>
      <c r="FK95" s="732"/>
      <c r="FL95" s="732"/>
      <c r="FM95" s="732"/>
      <c r="FN95" s="732"/>
      <c r="FO95" s="732"/>
      <c r="FP95" s="732"/>
      <c r="FQ95" s="732"/>
      <c r="FR95" s="732"/>
      <c r="FS95" s="732"/>
      <c r="FT95" s="732"/>
      <c r="FU95" s="732"/>
      <c r="FV95" s="732"/>
      <c r="FW95" s="732"/>
      <c r="FX95" s="732"/>
      <c r="FY95" s="732"/>
      <c r="FZ95" s="732"/>
      <c r="GA95" s="732"/>
      <c r="GB95" s="732"/>
      <c r="GC95" s="732"/>
      <c r="GD95" s="732"/>
      <c r="GE95" s="732"/>
      <c r="GF95" s="732"/>
      <c r="GG95" s="732"/>
      <c r="GH95" s="732"/>
      <c r="GI95" s="732"/>
      <c r="GJ95" s="732"/>
      <c r="GK95" s="732"/>
      <c r="GL95" s="732"/>
      <c r="GM95" s="732"/>
      <c r="GN95" s="732"/>
      <c r="GO95" s="732"/>
      <c r="GP95" s="732"/>
      <c r="GQ95" s="732"/>
      <c r="GR95" s="732"/>
      <c r="GS95" s="732"/>
      <c r="GT95" s="732"/>
      <c r="GU95" s="732"/>
      <c r="GV95" s="732"/>
      <c r="GW95" s="732"/>
      <c r="GX95" s="732"/>
      <c r="GY95" s="732"/>
      <c r="GZ95" s="732"/>
      <c r="HA95" s="732"/>
      <c r="HB95" s="732"/>
      <c r="HC95" s="732"/>
      <c r="HD95" s="732"/>
      <c r="HE95" s="732"/>
      <c r="HF95" s="732"/>
      <c r="HG95" s="732"/>
      <c r="HH95" s="732"/>
      <c r="HI95" s="732"/>
      <c r="HJ95" s="732"/>
      <c r="HK95" s="732"/>
      <c r="HL95" s="732"/>
      <c r="HM95" s="732"/>
      <c r="HN95" s="732"/>
      <c r="HO95" s="732"/>
      <c r="HP95" s="732"/>
      <c r="HQ95" s="732"/>
      <c r="HR95" s="732"/>
      <c r="HS95" s="732"/>
      <c r="HT95" s="732"/>
      <c r="HU95" s="732"/>
      <c r="HV95" s="732"/>
      <c r="HW95" s="732"/>
      <c r="HX95" s="732"/>
      <c r="HY95" s="732"/>
      <c r="HZ95" s="732"/>
      <c r="IA95" s="732"/>
      <c r="IB95" s="732"/>
      <c r="IC95" s="732"/>
      <c r="ID95" s="732"/>
      <c r="IE95" s="732"/>
      <c r="IF95" s="732"/>
      <c r="IG95" s="732"/>
      <c r="IH95" s="732"/>
      <c r="II95" s="732"/>
      <c r="IJ95" s="732"/>
      <c r="IK95" s="732"/>
      <c r="IL95" s="732"/>
      <c r="IM95" s="732"/>
      <c r="IN95" s="732"/>
      <c r="IO95" s="732"/>
      <c r="IP95" s="732"/>
      <c r="IQ95" s="732"/>
      <c r="IR95" s="732"/>
      <c r="IS95" s="732"/>
    </row>
    <row r="96" s="563" customFormat="1" ht="15" spans="1:253">
      <c r="A96" s="719" t="s">
        <v>170</v>
      </c>
      <c r="B96" s="657" t="s">
        <v>171</v>
      </c>
      <c r="C96" s="698" t="s">
        <v>172</v>
      </c>
      <c r="D96" s="716" t="s">
        <v>17</v>
      </c>
      <c r="E96" s="720">
        <f>'PB VI - Memorial'!C108</f>
        <v>160.3</v>
      </c>
      <c r="F96" s="694">
        <v>43.1</v>
      </c>
      <c r="G96" s="694">
        <f t="shared" si="5"/>
        <v>6908.93</v>
      </c>
      <c r="H96" s="711"/>
      <c r="I96" s="711"/>
      <c r="J96" s="711"/>
      <c r="K96" s="711"/>
      <c r="L96" s="711"/>
      <c r="M96" s="695">
        <f t="shared" si="9"/>
        <v>997182.95</v>
      </c>
      <c r="N96" s="729"/>
      <c r="O96" s="729"/>
      <c r="P96" s="729"/>
      <c r="Q96" s="729"/>
      <c r="R96" s="729"/>
      <c r="S96" s="729"/>
      <c r="T96" s="729"/>
      <c r="U96" s="729"/>
      <c r="V96" s="729"/>
      <c r="W96" s="729"/>
      <c r="X96" s="729"/>
      <c r="Y96" s="729"/>
      <c r="Z96" s="729"/>
      <c r="AA96" s="729"/>
      <c r="AB96" s="729"/>
      <c r="AC96" s="729"/>
      <c r="AD96" s="729"/>
      <c r="AE96" s="729"/>
      <c r="AF96" s="729"/>
      <c r="AG96" s="729"/>
      <c r="AH96" s="729"/>
      <c r="AI96" s="729"/>
      <c r="AJ96" s="729"/>
      <c r="AK96" s="729"/>
      <c r="AL96" s="729"/>
      <c r="AM96" s="729"/>
      <c r="AN96" s="729"/>
      <c r="AO96" s="729"/>
      <c r="AP96" s="729"/>
      <c r="AQ96" s="729"/>
      <c r="AR96" s="729"/>
      <c r="AS96" s="729"/>
      <c r="AT96" s="729"/>
      <c r="AU96" s="729"/>
      <c r="AV96" s="729"/>
      <c r="AW96" s="729"/>
      <c r="AX96" s="729"/>
      <c r="AY96" s="729"/>
      <c r="AZ96" s="729"/>
      <c r="BA96" s="729"/>
      <c r="BB96" s="729"/>
      <c r="BC96" s="729"/>
      <c r="BD96" s="729"/>
      <c r="BE96" s="729"/>
      <c r="BF96" s="729"/>
      <c r="BG96" s="729"/>
      <c r="BH96" s="729"/>
      <c r="BI96" s="729"/>
      <c r="BJ96" s="729"/>
      <c r="BK96" s="729"/>
      <c r="BL96" s="729"/>
      <c r="BM96" s="729"/>
      <c r="BN96" s="729"/>
      <c r="BO96" s="729"/>
      <c r="BP96" s="729"/>
      <c r="BQ96" s="729"/>
      <c r="BR96" s="729"/>
      <c r="BS96" s="729"/>
      <c r="BT96" s="729"/>
      <c r="BU96" s="729"/>
      <c r="BV96" s="729"/>
      <c r="BW96" s="732"/>
      <c r="BX96" s="732"/>
      <c r="BY96" s="732"/>
      <c r="BZ96" s="732"/>
      <c r="CA96" s="732"/>
      <c r="CB96" s="732"/>
      <c r="CC96" s="732"/>
      <c r="CD96" s="732"/>
      <c r="CE96" s="732"/>
      <c r="CF96" s="732"/>
      <c r="CG96" s="732"/>
      <c r="CH96" s="732"/>
      <c r="CI96" s="732"/>
      <c r="CJ96" s="732"/>
      <c r="CK96" s="732"/>
      <c r="CL96" s="732"/>
      <c r="CM96" s="732"/>
      <c r="CN96" s="732"/>
      <c r="CO96" s="732"/>
      <c r="CP96" s="732"/>
      <c r="CQ96" s="732"/>
      <c r="CR96" s="732"/>
      <c r="CS96" s="732"/>
      <c r="CT96" s="732"/>
      <c r="CU96" s="732"/>
      <c r="CV96" s="732"/>
      <c r="CW96" s="732"/>
      <c r="CX96" s="732"/>
      <c r="CY96" s="732"/>
      <c r="CZ96" s="732"/>
      <c r="DA96" s="732"/>
      <c r="DB96" s="732"/>
      <c r="DC96" s="732"/>
      <c r="DD96" s="732"/>
      <c r="DE96" s="732"/>
      <c r="DF96" s="732"/>
      <c r="DG96" s="732"/>
      <c r="DH96" s="732"/>
      <c r="DI96" s="732"/>
      <c r="DJ96" s="732"/>
      <c r="DK96" s="732"/>
      <c r="DL96" s="732"/>
      <c r="DM96" s="732"/>
      <c r="DN96" s="732"/>
      <c r="DO96" s="732"/>
      <c r="DP96" s="732"/>
      <c r="DQ96" s="732"/>
      <c r="DR96" s="732"/>
      <c r="DS96" s="732"/>
      <c r="DT96" s="732"/>
      <c r="DU96" s="732"/>
      <c r="DV96" s="732"/>
      <c r="DW96" s="732"/>
      <c r="DX96" s="732"/>
      <c r="DY96" s="732"/>
      <c r="DZ96" s="732"/>
      <c r="EA96" s="732"/>
      <c r="EB96" s="732"/>
      <c r="EC96" s="732"/>
      <c r="ED96" s="732"/>
      <c r="EE96" s="732"/>
      <c r="EF96" s="732"/>
      <c r="EG96" s="732"/>
      <c r="EH96" s="732"/>
      <c r="EI96" s="732"/>
      <c r="EJ96" s="732"/>
      <c r="EK96" s="732"/>
      <c r="EL96" s="732"/>
      <c r="EM96" s="732"/>
      <c r="EN96" s="732"/>
      <c r="EO96" s="732"/>
      <c r="EP96" s="732"/>
      <c r="EQ96" s="732"/>
      <c r="ER96" s="732"/>
      <c r="ES96" s="732"/>
      <c r="ET96" s="732"/>
      <c r="EU96" s="732"/>
      <c r="EV96" s="732"/>
      <c r="EW96" s="732"/>
      <c r="EX96" s="732"/>
      <c r="EY96" s="732"/>
      <c r="EZ96" s="732"/>
      <c r="FA96" s="732"/>
      <c r="FB96" s="732"/>
      <c r="FC96" s="732"/>
      <c r="FD96" s="732"/>
      <c r="FE96" s="732"/>
      <c r="FF96" s="732"/>
      <c r="FG96" s="732"/>
      <c r="FH96" s="732"/>
      <c r="FI96" s="732"/>
      <c r="FJ96" s="732"/>
      <c r="FK96" s="732"/>
      <c r="FL96" s="732"/>
      <c r="FM96" s="732"/>
      <c r="FN96" s="732"/>
      <c r="FO96" s="732"/>
      <c r="FP96" s="732"/>
      <c r="FQ96" s="732"/>
      <c r="FR96" s="732"/>
      <c r="FS96" s="732"/>
      <c r="FT96" s="732"/>
      <c r="FU96" s="732"/>
      <c r="FV96" s="732"/>
      <c r="FW96" s="732"/>
      <c r="FX96" s="732"/>
      <c r="FY96" s="732"/>
      <c r="FZ96" s="732"/>
      <c r="GA96" s="732"/>
      <c r="GB96" s="732"/>
      <c r="GC96" s="732"/>
      <c r="GD96" s="732"/>
      <c r="GE96" s="732"/>
      <c r="GF96" s="732"/>
      <c r="GG96" s="732"/>
      <c r="GH96" s="732"/>
      <c r="GI96" s="732"/>
      <c r="GJ96" s="732"/>
      <c r="GK96" s="732"/>
      <c r="GL96" s="732"/>
      <c r="GM96" s="732"/>
      <c r="GN96" s="732"/>
      <c r="GO96" s="732"/>
      <c r="GP96" s="732"/>
      <c r="GQ96" s="732"/>
      <c r="GR96" s="732"/>
      <c r="GS96" s="732"/>
      <c r="GT96" s="732"/>
      <c r="GU96" s="732"/>
      <c r="GV96" s="732"/>
      <c r="GW96" s="732"/>
      <c r="GX96" s="732"/>
      <c r="GY96" s="732"/>
      <c r="GZ96" s="732"/>
      <c r="HA96" s="732"/>
      <c r="HB96" s="732"/>
      <c r="HC96" s="732"/>
      <c r="HD96" s="732"/>
      <c r="HE96" s="732"/>
      <c r="HF96" s="732"/>
      <c r="HG96" s="732"/>
      <c r="HH96" s="732"/>
      <c r="HI96" s="732"/>
      <c r="HJ96" s="732"/>
      <c r="HK96" s="732"/>
      <c r="HL96" s="732"/>
      <c r="HM96" s="732"/>
      <c r="HN96" s="732"/>
      <c r="HO96" s="732"/>
      <c r="HP96" s="732"/>
      <c r="HQ96" s="732"/>
      <c r="HR96" s="732"/>
      <c r="HS96" s="732"/>
      <c r="HT96" s="732"/>
      <c r="HU96" s="732"/>
      <c r="HV96" s="732"/>
      <c r="HW96" s="732"/>
      <c r="HX96" s="732"/>
      <c r="HY96" s="732"/>
      <c r="HZ96" s="732"/>
      <c r="IA96" s="732"/>
      <c r="IB96" s="732"/>
      <c r="IC96" s="732"/>
      <c r="ID96" s="732"/>
      <c r="IE96" s="732"/>
      <c r="IF96" s="732"/>
      <c r="IG96" s="732"/>
      <c r="IH96" s="732"/>
      <c r="II96" s="732"/>
      <c r="IJ96" s="732"/>
      <c r="IK96" s="732"/>
      <c r="IL96" s="732"/>
      <c r="IM96" s="732"/>
      <c r="IN96" s="732"/>
      <c r="IO96" s="732"/>
      <c r="IP96" s="732"/>
      <c r="IQ96" s="732"/>
      <c r="IR96" s="732"/>
      <c r="IS96" s="732"/>
    </row>
    <row r="97" s="563" customFormat="1" ht="15" spans="1:253">
      <c r="A97" s="719" t="s">
        <v>151</v>
      </c>
      <c r="B97" s="657" t="s">
        <v>173</v>
      </c>
      <c r="C97" s="698" t="s">
        <v>174</v>
      </c>
      <c r="D97" s="716" t="s">
        <v>69</v>
      </c>
      <c r="E97" s="720">
        <f>'PB VI - Memorial'!D110</f>
        <v>381.09</v>
      </c>
      <c r="F97" s="694">
        <v>8.97</v>
      </c>
      <c r="G97" s="694">
        <f t="shared" si="5"/>
        <v>3418.38</v>
      </c>
      <c r="H97" s="711"/>
      <c r="I97" s="711"/>
      <c r="J97" s="711"/>
      <c r="K97" s="711"/>
      <c r="L97" s="711"/>
      <c r="M97" s="695">
        <f t="shared" si="9"/>
        <v>997182.95</v>
      </c>
      <c r="N97" s="729"/>
      <c r="O97" s="729"/>
      <c r="P97" s="729"/>
      <c r="Q97" s="729"/>
      <c r="R97" s="729"/>
      <c r="S97" s="729"/>
      <c r="T97" s="729"/>
      <c r="U97" s="729"/>
      <c r="V97" s="729"/>
      <c r="W97" s="729"/>
      <c r="X97" s="729"/>
      <c r="Y97" s="729"/>
      <c r="Z97" s="729"/>
      <c r="AA97" s="729"/>
      <c r="AB97" s="729"/>
      <c r="AC97" s="729"/>
      <c r="AD97" s="729"/>
      <c r="AE97" s="729"/>
      <c r="AF97" s="729"/>
      <c r="AG97" s="729"/>
      <c r="AH97" s="729"/>
      <c r="AI97" s="729"/>
      <c r="AJ97" s="729"/>
      <c r="AK97" s="729"/>
      <c r="AL97" s="729"/>
      <c r="AM97" s="729"/>
      <c r="AN97" s="729"/>
      <c r="AO97" s="729"/>
      <c r="AP97" s="729"/>
      <c r="AQ97" s="729"/>
      <c r="AR97" s="729"/>
      <c r="AS97" s="729"/>
      <c r="AT97" s="729"/>
      <c r="AU97" s="729"/>
      <c r="AV97" s="729"/>
      <c r="AW97" s="729"/>
      <c r="AX97" s="729"/>
      <c r="AY97" s="729"/>
      <c r="AZ97" s="729"/>
      <c r="BA97" s="729"/>
      <c r="BB97" s="729"/>
      <c r="BC97" s="729"/>
      <c r="BD97" s="729"/>
      <c r="BE97" s="729"/>
      <c r="BF97" s="729"/>
      <c r="BG97" s="729"/>
      <c r="BH97" s="729"/>
      <c r="BI97" s="729"/>
      <c r="BJ97" s="729"/>
      <c r="BK97" s="729"/>
      <c r="BL97" s="729"/>
      <c r="BM97" s="729"/>
      <c r="BN97" s="729"/>
      <c r="BO97" s="729"/>
      <c r="BP97" s="729"/>
      <c r="BQ97" s="729"/>
      <c r="BR97" s="729"/>
      <c r="BS97" s="729"/>
      <c r="BT97" s="729"/>
      <c r="BU97" s="729"/>
      <c r="BV97" s="729"/>
      <c r="BW97" s="732"/>
      <c r="BX97" s="732"/>
      <c r="BY97" s="732"/>
      <c r="BZ97" s="732"/>
      <c r="CA97" s="732"/>
      <c r="CB97" s="732"/>
      <c r="CC97" s="732"/>
      <c r="CD97" s="732"/>
      <c r="CE97" s="732"/>
      <c r="CF97" s="732"/>
      <c r="CG97" s="732"/>
      <c r="CH97" s="732"/>
      <c r="CI97" s="732"/>
      <c r="CJ97" s="732"/>
      <c r="CK97" s="732"/>
      <c r="CL97" s="732"/>
      <c r="CM97" s="732"/>
      <c r="CN97" s="732"/>
      <c r="CO97" s="732"/>
      <c r="CP97" s="732"/>
      <c r="CQ97" s="732"/>
      <c r="CR97" s="732"/>
      <c r="CS97" s="732"/>
      <c r="CT97" s="732"/>
      <c r="CU97" s="732"/>
      <c r="CV97" s="732"/>
      <c r="CW97" s="732"/>
      <c r="CX97" s="732"/>
      <c r="CY97" s="732"/>
      <c r="CZ97" s="732"/>
      <c r="DA97" s="732"/>
      <c r="DB97" s="732"/>
      <c r="DC97" s="732"/>
      <c r="DD97" s="732"/>
      <c r="DE97" s="732"/>
      <c r="DF97" s="732"/>
      <c r="DG97" s="732"/>
      <c r="DH97" s="732"/>
      <c r="DI97" s="732"/>
      <c r="DJ97" s="732"/>
      <c r="DK97" s="732"/>
      <c r="DL97" s="732"/>
      <c r="DM97" s="732"/>
      <c r="DN97" s="732"/>
      <c r="DO97" s="732"/>
      <c r="DP97" s="732"/>
      <c r="DQ97" s="732"/>
      <c r="DR97" s="732"/>
      <c r="DS97" s="732"/>
      <c r="DT97" s="732"/>
      <c r="DU97" s="732"/>
      <c r="DV97" s="732"/>
      <c r="DW97" s="732"/>
      <c r="DX97" s="732"/>
      <c r="DY97" s="732"/>
      <c r="DZ97" s="732"/>
      <c r="EA97" s="732"/>
      <c r="EB97" s="732"/>
      <c r="EC97" s="732"/>
      <c r="ED97" s="732"/>
      <c r="EE97" s="732"/>
      <c r="EF97" s="732"/>
      <c r="EG97" s="732"/>
      <c r="EH97" s="732"/>
      <c r="EI97" s="732"/>
      <c r="EJ97" s="732"/>
      <c r="EK97" s="732"/>
      <c r="EL97" s="732"/>
      <c r="EM97" s="732"/>
      <c r="EN97" s="732"/>
      <c r="EO97" s="732"/>
      <c r="EP97" s="732"/>
      <c r="EQ97" s="732"/>
      <c r="ER97" s="732"/>
      <c r="ES97" s="732"/>
      <c r="ET97" s="732"/>
      <c r="EU97" s="732"/>
      <c r="EV97" s="732"/>
      <c r="EW97" s="732"/>
      <c r="EX97" s="732"/>
      <c r="EY97" s="732"/>
      <c r="EZ97" s="732"/>
      <c r="FA97" s="732"/>
      <c r="FB97" s="732"/>
      <c r="FC97" s="732"/>
      <c r="FD97" s="732"/>
      <c r="FE97" s="732"/>
      <c r="FF97" s="732"/>
      <c r="FG97" s="732"/>
      <c r="FH97" s="732"/>
      <c r="FI97" s="732"/>
      <c r="FJ97" s="732"/>
      <c r="FK97" s="732"/>
      <c r="FL97" s="732"/>
      <c r="FM97" s="732"/>
      <c r="FN97" s="732"/>
      <c r="FO97" s="732"/>
      <c r="FP97" s="732"/>
      <c r="FQ97" s="732"/>
      <c r="FR97" s="732"/>
      <c r="FS97" s="732"/>
      <c r="FT97" s="732"/>
      <c r="FU97" s="732"/>
      <c r="FV97" s="732"/>
      <c r="FW97" s="732"/>
      <c r="FX97" s="732"/>
      <c r="FY97" s="732"/>
      <c r="FZ97" s="732"/>
      <c r="GA97" s="732"/>
      <c r="GB97" s="732"/>
      <c r="GC97" s="732"/>
      <c r="GD97" s="732"/>
      <c r="GE97" s="732"/>
      <c r="GF97" s="732"/>
      <c r="GG97" s="732"/>
      <c r="GH97" s="732"/>
      <c r="GI97" s="732"/>
      <c r="GJ97" s="732"/>
      <c r="GK97" s="732"/>
      <c r="GL97" s="732"/>
      <c r="GM97" s="732"/>
      <c r="GN97" s="732"/>
      <c r="GO97" s="732"/>
      <c r="GP97" s="732"/>
      <c r="GQ97" s="732"/>
      <c r="GR97" s="732"/>
      <c r="GS97" s="732"/>
      <c r="GT97" s="732"/>
      <c r="GU97" s="732"/>
      <c r="GV97" s="732"/>
      <c r="GW97" s="732"/>
      <c r="GX97" s="732"/>
      <c r="GY97" s="732"/>
      <c r="GZ97" s="732"/>
      <c r="HA97" s="732"/>
      <c r="HB97" s="732"/>
      <c r="HC97" s="732"/>
      <c r="HD97" s="732"/>
      <c r="HE97" s="732"/>
      <c r="HF97" s="732"/>
      <c r="HG97" s="732"/>
      <c r="HH97" s="732"/>
      <c r="HI97" s="732"/>
      <c r="HJ97" s="732"/>
      <c r="HK97" s="732"/>
      <c r="HL97" s="732"/>
      <c r="HM97" s="732"/>
      <c r="HN97" s="732"/>
      <c r="HO97" s="732"/>
      <c r="HP97" s="732"/>
      <c r="HQ97" s="732"/>
      <c r="HR97" s="732"/>
      <c r="HS97" s="732"/>
      <c r="HT97" s="732"/>
      <c r="HU97" s="732"/>
      <c r="HV97" s="732"/>
      <c r="HW97" s="732"/>
      <c r="HX97" s="732"/>
      <c r="HY97" s="732"/>
      <c r="HZ97" s="732"/>
      <c r="IA97" s="732"/>
      <c r="IB97" s="732"/>
      <c r="IC97" s="732"/>
      <c r="ID97" s="732"/>
      <c r="IE97" s="732"/>
      <c r="IF97" s="732"/>
      <c r="IG97" s="732"/>
      <c r="IH97" s="732"/>
      <c r="II97" s="732"/>
      <c r="IJ97" s="732"/>
      <c r="IK97" s="732"/>
      <c r="IL97" s="732"/>
      <c r="IM97" s="732"/>
      <c r="IN97" s="732"/>
      <c r="IO97" s="732"/>
      <c r="IP97" s="732"/>
      <c r="IQ97" s="732"/>
      <c r="IR97" s="732"/>
      <c r="IS97" s="732"/>
    </row>
    <row r="98" s="563" customFormat="1" ht="15" spans="1:253">
      <c r="A98" s="719" t="s">
        <v>154</v>
      </c>
      <c r="B98" s="657" t="s">
        <v>175</v>
      </c>
      <c r="C98" s="698" t="s">
        <v>132</v>
      </c>
      <c r="D98" s="716" t="s">
        <v>69</v>
      </c>
      <c r="E98" s="720">
        <f>'PB VI - Memorial'!E110</f>
        <v>73.55</v>
      </c>
      <c r="F98" s="694">
        <v>7.35</v>
      </c>
      <c r="G98" s="694">
        <f t="shared" ref="G98" si="10">ROUND(E98*F98,2)</f>
        <v>540.59</v>
      </c>
      <c r="H98" s="711"/>
      <c r="I98" s="711"/>
      <c r="J98" s="711"/>
      <c r="K98" s="711"/>
      <c r="L98" s="711"/>
      <c r="M98" s="695">
        <f t="shared" si="9"/>
        <v>997182.95</v>
      </c>
      <c r="N98" s="729"/>
      <c r="O98" s="729"/>
      <c r="P98" s="729"/>
      <c r="Q98" s="729"/>
      <c r="R98" s="729"/>
      <c r="S98" s="729"/>
      <c r="T98" s="729"/>
      <c r="U98" s="729"/>
      <c r="V98" s="729"/>
      <c r="W98" s="729"/>
      <c r="X98" s="729"/>
      <c r="Y98" s="729"/>
      <c r="Z98" s="729"/>
      <c r="AA98" s="729"/>
      <c r="AB98" s="729"/>
      <c r="AC98" s="729"/>
      <c r="AD98" s="729"/>
      <c r="AE98" s="729"/>
      <c r="AF98" s="729"/>
      <c r="AG98" s="729"/>
      <c r="AH98" s="729"/>
      <c r="AI98" s="729"/>
      <c r="AJ98" s="729"/>
      <c r="AK98" s="729"/>
      <c r="AL98" s="729"/>
      <c r="AM98" s="729"/>
      <c r="AN98" s="729"/>
      <c r="AO98" s="729"/>
      <c r="AP98" s="729"/>
      <c r="AQ98" s="729"/>
      <c r="AR98" s="729"/>
      <c r="AS98" s="729"/>
      <c r="AT98" s="729"/>
      <c r="AU98" s="729"/>
      <c r="AV98" s="729"/>
      <c r="AW98" s="729"/>
      <c r="AX98" s="729"/>
      <c r="AY98" s="729"/>
      <c r="AZ98" s="729"/>
      <c r="BA98" s="729"/>
      <c r="BB98" s="729"/>
      <c r="BC98" s="729"/>
      <c r="BD98" s="729"/>
      <c r="BE98" s="729"/>
      <c r="BF98" s="729"/>
      <c r="BG98" s="729"/>
      <c r="BH98" s="729"/>
      <c r="BI98" s="729"/>
      <c r="BJ98" s="729"/>
      <c r="BK98" s="729"/>
      <c r="BL98" s="729"/>
      <c r="BM98" s="729"/>
      <c r="BN98" s="729"/>
      <c r="BO98" s="729"/>
      <c r="BP98" s="729"/>
      <c r="BQ98" s="729"/>
      <c r="BR98" s="729"/>
      <c r="BS98" s="729"/>
      <c r="BT98" s="729"/>
      <c r="BU98" s="729"/>
      <c r="BV98" s="729"/>
      <c r="BW98" s="732"/>
      <c r="BX98" s="732"/>
      <c r="BY98" s="732"/>
      <c r="BZ98" s="732"/>
      <c r="CA98" s="732"/>
      <c r="CB98" s="732"/>
      <c r="CC98" s="732"/>
      <c r="CD98" s="732"/>
      <c r="CE98" s="732"/>
      <c r="CF98" s="732"/>
      <c r="CG98" s="732"/>
      <c r="CH98" s="732"/>
      <c r="CI98" s="732"/>
      <c r="CJ98" s="732"/>
      <c r="CK98" s="732"/>
      <c r="CL98" s="732"/>
      <c r="CM98" s="732"/>
      <c r="CN98" s="732"/>
      <c r="CO98" s="732"/>
      <c r="CP98" s="732"/>
      <c r="CQ98" s="732"/>
      <c r="CR98" s="732"/>
      <c r="CS98" s="732"/>
      <c r="CT98" s="732"/>
      <c r="CU98" s="732"/>
      <c r="CV98" s="732"/>
      <c r="CW98" s="732"/>
      <c r="CX98" s="732"/>
      <c r="CY98" s="732"/>
      <c r="CZ98" s="732"/>
      <c r="DA98" s="732"/>
      <c r="DB98" s="732"/>
      <c r="DC98" s="732"/>
      <c r="DD98" s="732"/>
      <c r="DE98" s="732"/>
      <c r="DF98" s="732"/>
      <c r="DG98" s="732"/>
      <c r="DH98" s="732"/>
      <c r="DI98" s="732"/>
      <c r="DJ98" s="732"/>
      <c r="DK98" s="732"/>
      <c r="DL98" s="732"/>
      <c r="DM98" s="732"/>
      <c r="DN98" s="732"/>
      <c r="DO98" s="732"/>
      <c r="DP98" s="732"/>
      <c r="DQ98" s="732"/>
      <c r="DR98" s="732"/>
      <c r="DS98" s="732"/>
      <c r="DT98" s="732"/>
      <c r="DU98" s="732"/>
      <c r="DV98" s="732"/>
      <c r="DW98" s="732"/>
      <c r="DX98" s="732"/>
      <c r="DY98" s="732"/>
      <c r="DZ98" s="732"/>
      <c r="EA98" s="732"/>
      <c r="EB98" s="732"/>
      <c r="EC98" s="732"/>
      <c r="ED98" s="732"/>
      <c r="EE98" s="732"/>
      <c r="EF98" s="732"/>
      <c r="EG98" s="732"/>
      <c r="EH98" s="732"/>
      <c r="EI98" s="732"/>
      <c r="EJ98" s="732"/>
      <c r="EK98" s="732"/>
      <c r="EL98" s="732"/>
      <c r="EM98" s="732"/>
      <c r="EN98" s="732"/>
      <c r="EO98" s="732"/>
      <c r="EP98" s="732"/>
      <c r="EQ98" s="732"/>
      <c r="ER98" s="732"/>
      <c r="ES98" s="732"/>
      <c r="ET98" s="732"/>
      <c r="EU98" s="732"/>
      <c r="EV98" s="732"/>
      <c r="EW98" s="732"/>
      <c r="EX98" s="732"/>
      <c r="EY98" s="732"/>
      <c r="EZ98" s="732"/>
      <c r="FA98" s="732"/>
      <c r="FB98" s="732"/>
      <c r="FC98" s="732"/>
      <c r="FD98" s="732"/>
      <c r="FE98" s="732"/>
      <c r="FF98" s="732"/>
      <c r="FG98" s="732"/>
      <c r="FH98" s="732"/>
      <c r="FI98" s="732"/>
      <c r="FJ98" s="732"/>
      <c r="FK98" s="732"/>
      <c r="FL98" s="732"/>
      <c r="FM98" s="732"/>
      <c r="FN98" s="732"/>
      <c r="FO98" s="732"/>
      <c r="FP98" s="732"/>
      <c r="FQ98" s="732"/>
      <c r="FR98" s="732"/>
      <c r="FS98" s="732"/>
      <c r="FT98" s="732"/>
      <c r="FU98" s="732"/>
      <c r="FV98" s="732"/>
      <c r="FW98" s="732"/>
      <c r="FX98" s="732"/>
      <c r="FY98" s="732"/>
      <c r="FZ98" s="732"/>
      <c r="GA98" s="732"/>
      <c r="GB98" s="732"/>
      <c r="GC98" s="732"/>
      <c r="GD98" s="732"/>
      <c r="GE98" s="732"/>
      <c r="GF98" s="732"/>
      <c r="GG98" s="732"/>
      <c r="GH98" s="732"/>
      <c r="GI98" s="732"/>
      <c r="GJ98" s="732"/>
      <c r="GK98" s="732"/>
      <c r="GL98" s="732"/>
      <c r="GM98" s="732"/>
      <c r="GN98" s="732"/>
      <c r="GO98" s="732"/>
      <c r="GP98" s="732"/>
      <c r="GQ98" s="732"/>
      <c r="GR98" s="732"/>
      <c r="GS98" s="732"/>
      <c r="GT98" s="732"/>
      <c r="GU98" s="732"/>
      <c r="GV98" s="732"/>
      <c r="GW98" s="732"/>
      <c r="GX98" s="732"/>
      <c r="GY98" s="732"/>
      <c r="GZ98" s="732"/>
      <c r="HA98" s="732"/>
      <c r="HB98" s="732"/>
      <c r="HC98" s="732"/>
      <c r="HD98" s="732"/>
      <c r="HE98" s="732"/>
      <c r="HF98" s="732"/>
      <c r="HG98" s="732"/>
      <c r="HH98" s="732"/>
      <c r="HI98" s="732"/>
      <c r="HJ98" s="732"/>
      <c r="HK98" s="732"/>
      <c r="HL98" s="732"/>
      <c r="HM98" s="732"/>
      <c r="HN98" s="732"/>
      <c r="HO98" s="732"/>
      <c r="HP98" s="732"/>
      <c r="HQ98" s="732"/>
      <c r="HR98" s="732"/>
      <c r="HS98" s="732"/>
      <c r="HT98" s="732"/>
      <c r="HU98" s="732"/>
      <c r="HV98" s="732"/>
      <c r="HW98" s="732"/>
      <c r="HX98" s="732"/>
      <c r="HY98" s="732"/>
      <c r="HZ98" s="732"/>
      <c r="IA98" s="732"/>
      <c r="IB98" s="732"/>
      <c r="IC98" s="732"/>
      <c r="ID98" s="732"/>
      <c r="IE98" s="732"/>
      <c r="IF98" s="732"/>
      <c r="IG98" s="732"/>
      <c r="IH98" s="732"/>
      <c r="II98" s="732"/>
      <c r="IJ98" s="732"/>
      <c r="IK98" s="732"/>
      <c r="IL98" s="732"/>
      <c r="IM98" s="732"/>
      <c r="IN98" s="732"/>
      <c r="IO98" s="732"/>
      <c r="IP98" s="732"/>
      <c r="IQ98" s="732"/>
      <c r="IR98" s="732"/>
      <c r="IS98" s="732"/>
    </row>
    <row r="99" s="563" customFormat="1" ht="15" spans="1:253">
      <c r="A99" s="719" t="s">
        <v>160</v>
      </c>
      <c r="B99" s="657" t="s">
        <v>176</v>
      </c>
      <c r="C99" s="698" t="s">
        <v>162</v>
      </c>
      <c r="D99" s="716" t="s">
        <v>69</v>
      </c>
      <c r="E99" s="720">
        <f>'PB VI - Memorial'!G110</f>
        <v>183.09</v>
      </c>
      <c r="F99" s="694">
        <v>13.31</v>
      </c>
      <c r="G99" s="694">
        <f t="shared" si="5"/>
        <v>2436.93</v>
      </c>
      <c r="H99" s="711"/>
      <c r="I99" s="711"/>
      <c r="J99" s="711"/>
      <c r="K99" s="711"/>
      <c r="L99" s="711"/>
      <c r="M99" s="695">
        <f t="shared" si="9"/>
        <v>997182.95</v>
      </c>
      <c r="N99" s="729"/>
      <c r="O99" s="729"/>
      <c r="P99" s="729"/>
      <c r="Q99" s="729"/>
      <c r="R99" s="729"/>
      <c r="S99" s="729"/>
      <c r="T99" s="729"/>
      <c r="U99" s="729"/>
      <c r="V99" s="729"/>
      <c r="W99" s="729"/>
      <c r="X99" s="729"/>
      <c r="Y99" s="729"/>
      <c r="Z99" s="729"/>
      <c r="AA99" s="729"/>
      <c r="AB99" s="729"/>
      <c r="AC99" s="729"/>
      <c r="AD99" s="729"/>
      <c r="AE99" s="729"/>
      <c r="AF99" s="729"/>
      <c r="AG99" s="729"/>
      <c r="AH99" s="729"/>
      <c r="AI99" s="729"/>
      <c r="AJ99" s="729"/>
      <c r="AK99" s="729"/>
      <c r="AL99" s="729"/>
      <c r="AM99" s="729"/>
      <c r="AN99" s="729"/>
      <c r="AO99" s="729"/>
      <c r="AP99" s="729"/>
      <c r="AQ99" s="729"/>
      <c r="AR99" s="729"/>
      <c r="AS99" s="729"/>
      <c r="AT99" s="729"/>
      <c r="AU99" s="729"/>
      <c r="AV99" s="729"/>
      <c r="AW99" s="729"/>
      <c r="AX99" s="729"/>
      <c r="AY99" s="729"/>
      <c r="AZ99" s="729"/>
      <c r="BA99" s="729"/>
      <c r="BB99" s="729"/>
      <c r="BC99" s="729"/>
      <c r="BD99" s="729"/>
      <c r="BE99" s="729"/>
      <c r="BF99" s="729"/>
      <c r="BG99" s="729"/>
      <c r="BH99" s="729"/>
      <c r="BI99" s="729"/>
      <c r="BJ99" s="729"/>
      <c r="BK99" s="729"/>
      <c r="BL99" s="729"/>
      <c r="BM99" s="729"/>
      <c r="BN99" s="729"/>
      <c r="BO99" s="729"/>
      <c r="BP99" s="729"/>
      <c r="BQ99" s="729"/>
      <c r="BR99" s="729"/>
      <c r="BS99" s="729"/>
      <c r="BT99" s="729"/>
      <c r="BU99" s="729"/>
      <c r="BV99" s="729"/>
      <c r="BW99" s="732"/>
      <c r="BX99" s="732"/>
      <c r="BY99" s="732"/>
      <c r="BZ99" s="732"/>
      <c r="CA99" s="732"/>
      <c r="CB99" s="732"/>
      <c r="CC99" s="732"/>
      <c r="CD99" s="732"/>
      <c r="CE99" s="732"/>
      <c r="CF99" s="732"/>
      <c r="CG99" s="732"/>
      <c r="CH99" s="732"/>
      <c r="CI99" s="732"/>
      <c r="CJ99" s="732"/>
      <c r="CK99" s="732"/>
      <c r="CL99" s="732"/>
      <c r="CM99" s="732"/>
      <c r="CN99" s="732"/>
      <c r="CO99" s="732"/>
      <c r="CP99" s="732"/>
      <c r="CQ99" s="732"/>
      <c r="CR99" s="732"/>
      <c r="CS99" s="732"/>
      <c r="CT99" s="732"/>
      <c r="CU99" s="732"/>
      <c r="CV99" s="732"/>
      <c r="CW99" s="732"/>
      <c r="CX99" s="732"/>
      <c r="CY99" s="732"/>
      <c r="CZ99" s="732"/>
      <c r="DA99" s="732"/>
      <c r="DB99" s="732"/>
      <c r="DC99" s="732"/>
      <c r="DD99" s="732"/>
      <c r="DE99" s="732"/>
      <c r="DF99" s="732"/>
      <c r="DG99" s="732"/>
      <c r="DH99" s="732"/>
      <c r="DI99" s="732"/>
      <c r="DJ99" s="732"/>
      <c r="DK99" s="732"/>
      <c r="DL99" s="732"/>
      <c r="DM99" s="732"/>
      <c r="DN99" s="732"/>
      <c r="DO99" s="732"/>
      <c r="DP99" s="732"/>
      <c r="DQ99" s="732"/>
      <c r="DR99" s="732"/>
      <c r="DS99" s="732"/>
      <c r="DT99" s="732"/>
      <c r="DU99" s="732"/>
      <c r="DV99" s="732"/>
      <c r="DW99" s="732"/>
      <c r="DX99" s="732"/>
      <c r="DY99" s="732"/>
      <c r="DZ99" s="732"/>
      <c r="EA99" s="732"/>
      <c r="EB99" s="732"/>
      <c r="EC99" s="732"/>
      <c r="ED99" s="732"/>
      <c r="EE99" s="732"/>
      <c r="EF99" s="732"/>
      <c r="EG99" s="732"/>
      <c r="EH99" s="732"/>
      <c r="EI99" s="732"/>
      <c r="EJ99" s="732"/>
      <c r="EK99" s="732"/>
      <c r="EL99" s="732"/>
      <c r="EM99" s="732"/>
      <c r="EN99" s="732"/>
      <c r="EO99" s="732"/>
      <c r="EP99" s="732"/>
      <c r="EQ99" s="732"/>
      <c r="ER99" s="732"/>
      <c r="ES99" s="732"/>
      <c r="ET99" s="732"/>
      <c r="EU99" s="732"/>
      <c r="EV99" s="732"/>
      <c r="EW99" s="732"/>
      <c r="EX99" s="732"/>
      <c r="EY99" s="732"/>
      <c r="EZ99" s="732"/>
      <c r="FA99" s="732"/>
      <c r="FB99" s="732"/>
      <c r="FC99" s="732"/>
      <c r="FD99" s="732"/>
      <c r="FE99" s="732"/>
      <c r="FF99" s="732"/>
      <c r="FG99" s="732"/>
      <c r="FH99" s="732"/>
      <c r="FI99" s="732"/>
      <c r="FJ99" s="732"/>
      <c r="FK99" s="732"/>
      <c r="FL99" s="732"/>
      <c r="FM99" s="732"/>
      <c r="FN99" s="732"/>
      <c r="FO99" s="732"/>
      <c r="FP99" s="732"/>
      <c r="FQ99" s="732"/>
      <c r="FR99" s="732"/>
      <c r="FS99" s="732"/>
      <c r="FT99" s="732"/>
      <c r="FU99" s="732"/>
      <c r="FV99" s="732"/>
      <c r="FW99" s="732"/>
      <c r="FX99" s="732"/>
      <c r="FY99" s="732"/>
      <c r="FZ99" s="732"/>
      <c r="GA99" s="732"/>
      <c r="GB99" s="732"/>
      <c r="GC99" s="732"/>
      <c r="GD99" s="732"/>
      <c r="GE99" s="732"/>
      <c r="GF99" s="732"/>
      <c r="GG99" s="732"/>
      <c r="GH99" s="732"/>
      <c r="GI99" s="732"/>
      <c r="GJ99" s="732"/>
      <c r="GK99" s="732"/>
      <c r="GL99" s="732"/>
      <c r="GM99" s="732"/>
      <c r="GN99" s="732"/>
      <c r="GO99" s="732"/>
      <c r="GP99" s="732"/>
      <c r="GQ99" s="732"/>
      <c r="GR99" s="732"/>
      <c r="GS99" s="732"/>
      <c r="GT99" s="732"/>
      <c r="GU99" s="732"/>
      <c r="GV99" s="732"/>
      <c r="GW99" s="732"/>
      <c r="GX99" s="732"/>
      <c r="GY99" s="732"/>
      <c r="GZ99" s="732"/>
      <c r="HA99" s="732"/>
      <c r="HB99" s="732"/>
      <c r="HC99" s="732"/>
      <c r="HD99" s="732"/>
      <c r="HE99" s="732"/>
      <c r="HF99" s="732"/>
      <c r="HG99" s="732"/>
      <c r="HH99" s="732"/>
      <c r="HI99" s="732"/>
      <c r="HJ99" s="732"/>
      <c r="HK99" s="732"/>
      <c r="HL99" s="732"/>
      <c r="HM99" s="732"/>
      <c r="HN99" s="732"/>
      <c r="HO99" s="732"/>
      <c r="HP99" s="732"/>
      <c r="HQ99" s="732"/>
      <c r="HR99" s="732"/>
      <c r="HS99" s="732"/>
      <c r="HT99" s="732"/>
      <c r="HU99" s="732"/>
      <c r="HV99" s="732"/>
      <c r="HW99" s="732"/>
      <c r="HX99" s="732"/>
      <c r="HY99" s="732"/>
      <c r="HZ99" s="732"/>
      <c r="IA99" s="732"/>
      <c r="IB99" s="732"/>
      <c r="IC99" s="732"/>
      <c r="ID99" s="732"/>
      <c r="IE99" s="732"/>
      <c r="IF99" s="732"/>
      <c r="IG99" s="732"/>
      <c r="IH99" s="732"/>
      <c r="II99" s="732"/>
      <c r="IJ99" s="732"/>
      <c r="IK99" s="732"/>
      <c r="IL99" s="732"/>
      <c r="IM99" s="732"/>
      <c r="IN99" s="732"/>
      <c r="IO99" s="732"/>
      <c r="IP99" s="732"/>
      <c r="IQ99" s="732"/>
      <c r="IR99" s="732"/>
      <c r="IS99" s="732"/>
    </row>
    <row r="100" s="563" customFormat="1" ht="15" spans="1:253">
      <c r="A100" s="719"/>
      <c r="B100" s="657"/>
      <c r="C100" s="698"/>
      <c r="D100" s="716"/>
      <c r="E100" s="720"/>
      <c r="F100" s="694"/>
      <c r="G100" s="694"/>
      <c r="H100" s="711"/>
      <c r="I100" s="711"/>
      <c r="J100" s="711"/>
      <c r="K100" s="711"/>
      <c r="L100" s="711"/>
      <c r="M100" s="695"/>
      <c r="N100" s="729"/>
      <c r="O100" s="729"/>
      <c r="P100" s="729"/>
      <c r="Q100" s="729"/>
      <c r="R100" s="729"/>
      <c r="S100" s="729"/>
      <c r="T100" s="729"/>
      <c r="U100" s="729"/>
      <c r="V100" s="729"/>
      <c r="W100" s="729"/>
      <c r="X100" s="729"/>
      <c r="Y100" s="729"/>
      <c r="Z100" s="729"/>
      <c r="AA100" s="729"/>
      <c r="AB100" s="729"/>
      <c r="AC100" s="729"/>
      <c r="AD100" s="729"/>
      <c r="AE100" s="729"/>
      <c r="AF100" s="729"/>
      <c r="AG100" s="729"/>
      <c r="AH100" s="729"/>
      <c r="AI100" s="729"/>
      <c r="AJ100" s="729"/>
      <c r="AK100" s="729"/>
      <c r="AL100" s="729"/>
      <c r="AM100" s="729"/>
      <c r="AN100" s="729"/>
      <c r="AO100" s="729"/>
      <c r="AP100" s="729"/>
      <c r="AQ100" s="729"/>
      <c r="AR100" s="729"/>
      <c r="AS100" s="729"/>
      <c r="AT100" s="729"/>
      <c r="AU100" s="729"/>
      <c r="AV100" s="729"/>
      <c r="AW100" s="729"/>
      <c r="AX100" s="729"/>
      <c r="AY100" s="729"/>
      <c r="AZ100" s="729"/>
      <c r="BA100" s="729"/>
      <c r="BB100" s="729"/>
      <c r="BC100" s="729"/>
      <c r="BD100" s="729"/>
      <c r="BE100" s="729"/>
      <c r="BF100" s="729"/>
      <c r="BG100" s="729"/>
      <c r="BH100" s="729"/>
      <c r="BI100" s="729"/>
      <c r="BJ100" s="729"/>
      <c r="BK100" s="729"/>
      <c r="BL100" s="729"/>
      <c r="BM100" s="729"/>
      <c r="BN100" s="729"/>
      <c r="BO100" s="729"/>
      <c r="BP100" s="729"/>
      <c r="BQ100" s="729"/>
      <c r="BR100" s="729"/>
      <c r="BS100" s="729"/>
      <c r="BT100" s="729"/>
      <c r="BU100" s="729"/>
      <c r="BV100" s="729"/>
      <c r="BW100" s="732"/>
      <c r="BX100" s="732"/>
      <c r="BY100" s="732"/>
      <c r="BZ100" s="732"/>
      <c r="CA100" s="732"/>
      <c r="CB100" s="732"/>
      <c r="CC100" s="732"/>
      <c r="CD100" s="732"/>
      <c r="CE100" s="732"/>
      <c r="CF100" s="732"/>
      <c r="CG100" s="732"/>
      <c r="CH100" s="732"/>
      <c r="CI100" s="732"/>
      <c r="CJ100" s="732"/>
      <c r="CK100" s="732"/>
      <c r="CL100" s="732"/>
      <c r="CM100" s="732"/>
      <c r="CN100" s="732"/>
      <c r="CO100" s="732"/>
      <c r="CP100" s="732"/>
      <c r="CQ100" s="732"/>
      <c r="CR100" s="732"/>
      <c r="CS100" s="732"/>
      <c r="CT100" s="732"/>
      <c r="CU100" s="732"/>
      <c r="CV100" s="732"/>
      <c r="CW100" s="732"/>
      <c r="CX100" s="732"/>
      <c r="CY100" s="732"/>
      <c r="CZ100" s="732"/>
      <c r="DA100" s="732"/>
      <c r="DB100" s="732"/>
      <c r="DC100" s="732"/>
      <c r="DD100" s="732"/>
      <c r="DE100" s="732"/>
      <c r="DF100" s="732"/>
      <c r="DG100" s="732"/>
      <c r="DH100" s="732"/>
      <c r="DI100" s="732"/>
      <c r="DJ100" s="732"/>
      <c r="DK100" s="732"/>
      <c r="DL100" s="732"/>
      <c r="DM100" s="732"/>
      <c r="DN100" s="732"/>
      <c r="DO100" s="732"/>
      <c r="DP100" s="732"/>
      <c r="DQ100" s="732"/>
      <c r="DR100" s="732"/>
      <c r="DS100" s="732"/>
      <c r="DT100" s="732"/>
      <c r="DU100" s="732"/>
      <c r="DV100" s="732"/>
      <c r="DW100" s="732"/>
      <c r="DX100" s="732"/>
      <c r="DY100" s="732"/>
      <c r="DZ100" s="732"/>
      <c r="EA100" s="732"/>
      <c r="EB100" s="732"/>
      <c r="EC100" s="732"/>
      <c r="ED100" s="732"/>
      <c r="EE100" s="732"/>
      <c r="EF100" s="732"/>
      <c r="EG100" s="732"/>
      <c r="EH100" s="732"/>
      <c r="EI100" s="732"/>
      <c r="EJ100" s="732"/>
      <c r="EK100" s="732"/>
      <c r="EL100" s="732"/>
      <c r="EM100" s="732"/>
      <c r="EN100" s="732"/>
      <c r="EO100" s="732"/>
      <c r="EP100" s="732"/>
      <c r="EQ100" s="732"/>
      <c r="ER100" s="732"/>
      <c r="ES100" s="732"/>
      <c r="ET100" s="732"/>
      <c r="EU100" s="732"/>
      <c r="EV100" s="732"/>
      <c r="EW100" s="732"/>
      <c r="EX100" s="732"/>
      <c r="EY100" s="732"/>
      <c r="EZ100" s="732"/>
      <c r="FA100" s="732"/>
      <c r="FB100" s="732"/>
      <c r="FC100" s="732"/>
      <c r="FD100" s="732"/>
      <c r="FE100" s="732"/>
      <c r="FF100" s="732"/>
      <c r="FG100" s="732"/>
      <c r="FH100" s="732"/>
      <c r="FI100" s="732"/>
      <c r="FJ100" s="732"/>
      <c r="FK100" s="732"/>
      <c r="FL100" s="732"/>
      <c r="FM100" s="732"/>
      <c r="FN100" s="732"/>
      <c r="FO100" s="732"/>
      <c r="FP100" s="732"/>
      <c r="FQ100" s="732"/>
      <c r="FR100" s="732"/>
      <c r="FS100" s="732"/>
      <c r="FT100" s="732"/>
      <c r="FU100" s="732"/>
      <c r="FV100" s="732"/>
      <c r="FW100" s="732"/>
      <c r="FX100" s="732"/>
      <c r="FY100" s="732"/>
      <c r="FZ100" s="732"/>
      <c r="GA100" s="732"/>
      <c r="GB100" s="732"/>
      <c r="GC100" s="732"/>
      <c r="GD100" s="732"/>
      <c r="GE100" s="732"/>
      <c r="GF100" s="732"/>
      <c r="GG100" s="732"/>
      <c r="GH100" s="732"/>
      <c r="GI100" s="732"/>
      <c r="GJ100" s="732"/>
      <c r="GK100" s="732"/>
      <c r="GL100" s="732"/>
      <c r="GM100" s="732"/>
      <c r="GN100" s="732"/>
      <c r="GO100" s="732"/>
      <c r="GP100" s="732"/>
      <c r="GQ100" s="732"/>
      <c r="GR100" s="732"/>
      <c r="GS100" s="732"/>
      <c r="GT100" s="732"/>
      <c r="GU100" s="732"/>
      <c r="GV100" s="732"/>
      <c r="GW100" s="732"/>
      <c r="GX100" s="732"/>
      <c r="GY100" s="732"/>
      <c r="GZ100" s="732"/>
      <c r="HA100" s="732"/>
      <c r="HB100" s="732"/>
      <c r="HC100" s="732"/>
      <c r="HD100" s="732"/>
      <c r="HE100" s="732"/>
      <c r="HF100" s="732"/>
      <c r="HG100" s="732"/>
      <c r="HH100" s="732"/>
      <c r="HI100" s="732"/>
      <c r="HJ100" s="732"/>
      <c r="HK100" s="732"/>
      <c r="HL100" s="732"/>
      <c r="HM100" s="732"/>
      <c r="HN100" s="732"/>
      <c r="HO100" s="732"/>
      <c r="HP100" s="732"/>
      <c r="HQ100" s="732"/>
      <c r="HR100" s="732"/>
      <c r="HS100" s="732"/>
      <c r="HT100" s="732"/>
      <c r="HU100" s="732"/>
      <c r="HV100" s="732"/>
      <c r="HW100" s="732"/>
      <c r="HX100" s="732"/>
      <c r="HY100" s="732"/>
      <c r="HZ100" s="732"/>
      <c r="IA100" s="732"/>
      <c r="IB100" s="732"/>
      <c r="IC100" s="732"/>
      <c r="ID100" s="732"/>
      <c r="IE100" s="732"/>
      <c r="IF100" s="732"/>
      <c r="IG100" s="732"/>
      <c r="IH100" s="732"/>
      <c r="II100" s="732"/>
      <c r="IJ100" s="732"/>
      <c r="IK100" s="732"/>
      <c r="IL100" s="732"/>
      <c r="IM100" s="732"/>
      <c r="IN100" s="732"/>
      <c r="IO100" s="732"/>
      <c r="IP100" s="732"/>
      <c r="IQ100" s="732"/>
      <c r="IR100" s="732"/>
      <c r="IS100" s="732"/>
    </row>
    <row r="101" s="563" customFormat="1" ht="15" spans="1:253">
      <c r="A101" s="721"/>
      <c r="B101" s="722" t="s">
        <v>85</v>
      </c>
      <c r="C101" s="723" t="s">
        <v>177</v>
      </c>
      <c r="D101" s="716"/>
      <c r="E101" s="720"/>
      <c r="F101" s="694"/>
      <c r="G101" s="694"/>
      <c r="H101" s="711"/>
      <c r="I101" s="711"/>
      <c r="J101" s="711"/>
      <c r="K101" s="711"/>
      <c r="L101" s="711"/>
      <c r="M101" s="695">
        <f t="shared" ref="M101:M108" si="11">$F$432</f>
        <v>997182.95</v>
      </c>
      <c r="N101" s="729"/>
      <c r="O101" s="729"/>
      <c r="P101" s="729"/>
      <c r="Q101" s="729"/>
      <c r="R101" s="729"/>
      <c r="S101" s="729"/>
      <c r="T101" s="729"/>
      <c r="U101" s="729"/>
      <c r="V101" s="729"/>
      <c r="W101" s="729"/>
      <c r="X101" s="729"/>
      <c r="Y101" s="729"/>
      <c r="Z101" s="729"/>
      <c r="AA101" s="729"/>
      <c r="AB101" s="729"/>
      <c r="AC101" s="729"/>
      <c r="AD101" s="729"/>
      <c r="AE101" s="729"/>
      <c r="AF101" s="729"/>
      <c r="AG101" s="729"/>
      <c r="AH101" s="729"/>
      <c r="AI101" s="729"/>
      <c r="AJ101" s="729"/>
      <c r="AK101" s="729"/>
      <c r="AL101" s="729"/>
      <c r="AM101" s="729"/>
      <c r="AN101" s="729"/>
      <c r="AO101" s="729"/>
      <c r="AP101" s="729"/>
      <c r="AQ101" s="729"/>
      <c r="AR101" s="729"/>
      <c r="AS101" s="729"/>
      <c r="AT101" s="729"/>
      <c r="AU101" s="729"/>
      <c r="AV101" s="729"/>
      <c r="AW101" s="729"/>
      <c r="AX101" s="729"/>
      <c r="AY101" s="729"/>
      <c r="AZ101" s="729"/>
      <c r="BA101" s="729"/>
      <c r="BB101" s="729"/>
      <c r="BC101" s="729"/>
      <c r="BD101" s="729"/>
      <c r="BE101" s="729"/>
      <c r="BF101" s="729"/>
      <c r="BG101" s="729"/>
      <c r="BH101" s="729"/>
      <c r="BI101" s="729"/>
      <c r="BJ101" s="729"/>
      <c r="BK101" s="729"/>
      <c r="BL101" s="729"/>
      <c r="BM101" s="729"/>
      <c r="BN101" s="729"/>
      <c r="BO101" s="729"/>
      <c r="BP101" s="729"/>
      <c r="BQ101" s="729"/>
      <c r="BR101" s="729"/>
      <c r="BS101" s="729"/>
      <c r="BT101" s="729"/>
      <c r="BU101" s="729"/>
      <c r="BV101" s="729"/>
      <c r="BW101" s="732"/>
      <c r="BX101" s="732"/>
      <c r="BY101" s="732"/>
      <c r="BZ101" s="732"/>
      <c r="CA101" s="732"/>
      <c r="CB101" s="732"/>
      <c r="CC101" s="732"/>
      <c r="CD101" s="732"/>
      <c r="CE101" s="732"/>
      <c r="CF101" s="732"/>
      <c r="CG101" s="732"/>
      <c r="CH101" s="732"/>
      <c r="CI101" s="732"/>
      <c r="CJ101" s="732"/>
      <c r="CK101" s="732"/>
      <c r="CL101" s="732"/>
      <c r="CM101" s="732"/>
      <c r="CN101" s="732"/>
      <c r="CO101" s="732"/>
      <c r="CP101" s="732"/>
      <c r="CQ101" s="732"/>
      <c r="CR101" s="732"/>
      <c r="CS101" s="732"/>
      <c r="CT101" s="732"/>
      <c r="CU101" s="732"/>
      <c r="CV101" s="732"/>
      <c r="CW101" s="732"/>
      <c r="CX101" s="732"/>
      <c r="CY101" s="732"/>
      <c r="CZ101" s="732"/>
      <c r="DA101" s="732"/>
      <c r="DB101" s="732"/>
      <c r="DC101" s="732"/>
      <c r="DD101" s="732"/>
      <c r="DE101" s="732"/>
      <c r="DF101" s="732"/>
      <c r="DG101" s="732"/>
      <c r="DH101" s="732"/>
      <c r="DI101" s="732"/>
      <c r="DJ101" s="732"/>
      <c r="DK101" s="732"/>
      <c r="DL101" s="732"/>
      <c r="DM101" s="732"/>
      <c r="DN101" s="732"/>
      <c r="DO101" s="732"/>
      <c r="DP101" s="732"/>
      <c r="DQ101" s="732"/>
      <c r="DR101" s="732"/>
      <c r="DS101" s="732"/>
      <c r="DT101" s="732"/>
      <c r="DU101" s="732"/>
      <c r="DV101" s="732"/>
      <c r="DW101" s="732"/>
      <c r="DX101" s="732"/>
      <c r="DY101" s="732"/>
      <c r="DZ101" s="732"/>
      <c r="EA101" s="732"/>
      <c r="EB101" s="732"/>
      <c r="EC101" s="732"/>
      <c r="ED101" s="732"/>
      <c r="EE101" s="732"/>
      <c r="EF101" s="732"/>
      <c r="EG101" s="732"/>
      <c r="EH101" s="732"/>
      <c r="EI101" s="732"/>
      <c r="EJ101" s="732"/>
      <c r="EK101" s="732"/>
      <c r="EL101" s="732"/>
      <c r="EM101" s="732"/>
      <c r="EN101" s="732"/>
      <c r="EO101" s="732"/>
      <c r="EP101" s="732"/>
      <c r="EQ101" s="732"/>
      <c r="ER101" s="732"/>
      <c r="ES101" s="732"/>
      <c r="ET101" s="732"/>
      <c r="EU101" s="732"/>
      <c r="EV101" s="732"/>
      <c r="EW101" s="732"/>
      <c r="EX101" s="732"/>
      <c r="EY101" s="732"/>
      <c r="EZ101" s="732"/>
      <c r="FA101" s="732"/>
      <c r="FB101" s="732"/>
      <c r="FC101" s="732"/>
      <c r="FD101" s="732"/>
      <c r="FE101" s="732"/>
      <c r="FF101" s="732"/>
      <c r="FG101" s="732"/>
      <c r="FH101" s="732"/>
      <c r="FI101" s="732"/>
      <c r="FJ101" s="732"/>
      <c r="FK101" s="732"/>
      <c r="FL101" s="732"/>
      <c r="FM101" s="732"/>
      <c r="FN101" s="732"/>
      <c r="FO101" s="732"/>
      <c r="FP101" s="732"/>
      <c r="FQ101" s="732"/>
      <c r="FR101" s="732"/>
      <c r="FS101" s="732"/>
      <c r="FT101" s="732"/>
      <c r="FU101" s="732"/>
      <c r="FV101" s="732"/>
      <c r="FW101" s="732"/>
      <c r="FX101" s="732"/>
      <c r="FY101" s="732"/>
      <c r="FZ101" s="732"/>
      <c r="GA101" s="732"/>
      <c r="GB101" s="732"/>
      <c r="GC101" s="732"/>
      <c r="GD101" s="732"/>
      <c r="GE101" s="732"/>
      <c r="GF101" s="732"/>
      <c r="GG101" s="732"/>
      <c r="GH101" s="732"/>
      <c r="GI101" s="732"/>
      <c r="GJ101" s="732"/>
      <c r="GK101" s="732"/>
      <c r="GL101" s="732"/>
      <c r="GM101" s="732"/>
      <c r="GN101" s="732"/>
      <c r="GO101" s="732"/>
      <c r="GP101" s="732"/>
      <c r="GQ101" s="732"/>
      <c r="GR101" s="732"/>
      <c r="GS101" s="732"/>
      <c r="GT101" s="732"/>
      <c r="GU101" s="732"/>
      <c r="GV101" s="732"/>
      <c r="GW101" s="732"/>
      <c r="GX101" s="732"/>
      <c r="GY101" s="732"/>
      <c r="GZ101" s="732"/>
      <c r="HA101" s="732"/>
      <c r="HB101" s="732"/>
      <c r="HC101" s="732"/>
      <c r="HD101" s="732"/>
      <c r="HE101" s="732"/>
      <c r="HF101" s="732"/>
      <c r="HG101" s="732"/>
      <c r="HH101" s="732"/>
      <c r="HI101" s="732"/>
      <c r="HJ101" s="732"/>
      <c r="HK101" s="732"/>
      <c r="HL101" s="732"/>
      <c r="HM101" s="732"/>
      <c r="HN101" s="732"/>
      <c r="HO101" s="732"/>
      <c r="HP101" s="732"/>
      <c r="HQ101" s="732"/>
      <c r="HR101" s="732"/>
      <c r="HS101" s="732"/>
      <c r="HT101" s="732"/>
      <c r="HU101" s="732"/>
      <c r="HV101" s="732"/>
      <c r="HW101" s="732"/>
      <c r="HX101" s="732"/>
      <c r="HY101" s="732"/>
      <c r="HZ101" s="732"/>
      <c r="IA101" s="732"/>
      <c r="IB101" s="732"/>
      <c r="IC101" s="732"/>
      <c r="ID101" s="732"/>
      <c r="IE101" s="732"/>
      <c r="IF101" s="732"/>
      <c r="IG101" s="732"/>
      <c r="IH101" s="732"/>
      <c r="II101" s="732"/>
      <c r="IJ101" s="732"/>
      <c r="IK101" s="732"/>
      <c r="IL101" s="732"/>
      <c r="IM101" s="732"/>
      <c r="IN101" s="732"/>
      <c r="IO101" s="732"/>
      <c r="IP101" s="732"/>
      <c r="IQ101" s="732"/>
      <c r="IR101" s="732"/>
      <c r="IS101" s="732"/>
    </row>
    <row r="102" s="563" customFormat="1" ht="15" spans="1:253">
      <c r="A102" s="719" t="s">
        <v>114</v>
      </c>
      <c r="B102" s="657" t="s">
        <v>178</v>
      </c>
      <c r="C102" s="698" t="s">
        <v>141</v>
      </c>
      <c r="D102" s="716" t="s">
        <v>23</v>
      </c>
      <c r="E102" s="720">
        <f>'PB VI - Memorial'!B113</f>
        <v>10.6</v>
      </c>
      <c r="F102" s="694">
        <f>F94</f>
        <v>393.85</v>
      </c>
      <c r="G102" s="694">
        <f t="shared" si="5"/>
        <v>4174.81</v>
      </c>
      <c r="H102" s="711"/>
      <c r="I102" s="711"/>
      <c r="J102" s="711"/>
      <c r="K102" s="711"/>
      <c r="L102" s="711"/>
      <c r="M102" s="695">
        <f t="shared" si="11"/>
        <v>997182.95</v>
      </c>
      <c r="N102" s="729"/>
      <c r="O102" s="729"/>
      <c r="P102" s="729"/>
      <c r="Q102" s="729"/>
      <c r="R102" s="729"/>
      <c r="S102" s="729"/>
      <c r="T102" s="729"/>
      <c r="U102" s="729"/>
      <c r="V102" s="729"/>
      <c r="W102" s="729"/>
      <c r="X102" s="729"/>
      <c r="Y102" s="729"/>
      <c r="Z102" s="729"/>
      <c r="AA102" s="729"/>
      <c r="AB102" s="729"/>
      <c r="AC102" s="729"/>
      <c r="AD102" s="729"/>
      <c r="AE102" s="729"/>
      <c r="AF102" s="729"/>
      <c r="AG102" s="729"/>
      <c r="AH102" s="729"/>
      <c r="AI102" s="729"/>
      <c r="AJ102" s="729"/>
      <c r="AK102" s="729"/>
      <c r="AL102" s="729"/>
      <c r="AM102" s="729"/>
      <c r="AN102" s="729"/>
      <c r="AO102" s="729"/>
      <c r="AP102" s="729"/>
      <c r="AQ102" s="729"/>
      <c r="AR102" s="729"/>
      <c r="AS102" s="729"/>
      <c r="AT102" s="729"/>
      <c r="AU102" s="729"/>
      <c r="AV102" s="729"/>
      <c r="AW102" s="729"/>
      <c r="AX102" s="729"/>
      <c r="AY102" s="729"/>
      <c r="AZ102" s="729"/>
      <c r="BA102" s="729"/>
      <c r="BB102" s="729"/>
      <c r="BC102" s="729"/>
      <c r="BD102" s="729"/>
      <c r="BE102" s="729"/>
      <c r="BF102" s="729"/>
      <c r="BG102" s="729"/>
      <c r="BH102" s="729"/>
      <c r="BI102" s="729"/>
      <c r="BJ102" s="729"/>
      <c r="BK102" s="729"/>
      <c r="BL102" s="729"/>
      <c r="BM102" s="729"/>
      <c r="BN102" s="729"/>
      <c r="BO102" s="729"/>
      <c r="BP102" s="729"/>
      <c r="BQ102" s="729"/>
      <c r="BR102" s="729"/>
      <c r="BS102" s="729"/>
      <c r="BT102" s="729"/>
      <c r="BU102" s="729"/>
      <c r="BV102" s="729"/>
      <c r="BW102" s="732"/>
      <c r="BX102" s="732"/>
      <c r="BY102" s="732"/>
      <c r="BZ102" s="732"/>
      <c r="CA102" s="732"/>
      <c r="CB102" s="732"/>
      <c r="CC102" s="732"/>
      <c r="CD102" s="732"/>
      <c r="CE102" s="732"/>
      <c r="CF102" s="732"/>
      <c r="CG102" s="732"/>
      <c r="CH102" s="732"/>
      <c r="CI102" s="732"/>
      <c r="CJ102" s="732"/>
      <c r="CK102" s="732"/>
      <c r="CL102" s="732"/>
      <c r="CM102" s="732"/>
      <c r="CN102" s="732"/>
      <c r="CO102" s="732"/>
      <c r="CP102" s="732"/>
      <c r="CQ102" s="732"/>
      <c r="CR102" s="732"/>
      <c r="CS102" s="732"/>
      <c r="CT102" s="732"/>
      <c r="CU102" s="732"/>
      <c r="CV102" s="732"/>
      <c r="CW102" s="732"/>
      <c r="CX102" s="732"/>
      <c r="CY102" s="732"/>
      <c r="CZ102" s="732"/>
      <c r="DA102" s="732"/>
      <c r="DB102" s="732"/>
      <c r="DC102" s="732"/>
      <c r="DD102" s="732"/>
      <c r="DE102" s="732"/>
      <c r="DF102" s="732"/>
      <c r="DG102" s="732"/>
      <c r="DH102" s="732"/>
      <c r="DI102" s="732"/>
      <c r="DJ102" s="732"/>
      <c r="DK102" s="732"/>
      <c r="DL102" s="732"/>
      <c r="DM102" s="732"/>
      <c r="DN102" s="732"/>
      <c r="DO102" s="732"/>
      <c r="DP102" s="732"/>
      <c r="DQ102" s="732"/>
      <c r="DR102" s="732"/>
      <c r="DS102" s="732"/>
      <c r="DT102" s="732"/>
      <c r="DU102" s="732"/>
      <c r="DV102" s="732"/>
      <c r="DW102" s="732"/>
      <c r="DX102" s="732"/>
      <c r="DY102" s="732"/>
      <c r="DZ102" s="732"/>
      <c r="EA102" s="732"/>
      <c r="EB102" s="732"/>
      <c r="EC102" s="732"/>
      <c r="ED102" s="732"/>
      <c r="EE102" s="732"/>
      <c r="EF102" s="732"/>
      <c r="EG102" s="732"/>
      <c r="EH102" s="732"/>
      <c r="EI102" s="732"/>
      <c r="EJ102" s="732"/>
      <c r="EK102" s="732"/>
      <c r="EL102" s="732"/>
      <c r="EM102" s="732"/>
      <c r="EN102" s="732"/>
      <c r="EO102" s="732"/>
      <c r="EP102" s="732"/>
      <c r="EQ102" s="732"/>
      <c r="ER102" s="732"/>
      <c r="ES102" s="732"/>
      <c r="ET102" s="732"/>
      <c r="EU102" s="732"/>
      <c r="EV102" s="732"/>
      <c r="EW102" s="732"/>
      <c r="EX102" s="732"/>
      <c r="EY102" s="732"/>
      <c r="EZ102" s="732"/>
      <c r="FA102" s="732"/>
      <c r="FB102" s="732"/>
      <c r="FC102" s="732"/>
      <c r="FD102" s="732"/>
      <c r="FE102" s="732"/>
      <c r="FF102" s="732"/>
      <c r="FG102" s="732"/>
      <c r="FH102" s="732"/>
      <c r="FI102" s="732"/>
      <c r="FJ102" s="732"/>
      <c r="FK102" s="732"/>
      <c r="FL102" s="732"/>
      <c r="FM102" s="732"/>
      <c r="FN102" s="732"/>
      <c r="FO102" s="732"/>
      <c r="FP102" s="732"/>
      <c r="FQ102" s="732"/>
      <c r="FR102" s="732"/>
      <c r="FS102" s="732"/>
      <c r="FT102" s="732"/>
      <c r="FU102" s="732"/>
      <c r="FV102" s="732"/>
      <c r="FW102" s="732"/>
      <c r="FX102" s="732"/>
      <c r="FY102" s="732"/>
      <c r="FZ102" s="732"/>
      <c r="GA102" s="732"/>
      <c r="GB102" s="732"/>
      <c r="GC102" s="732"/>
      <c r="GD102" s="732"/>
      <c r="GE102" s="732"/>
      <c r="GF102" s="732"/>
      <c r="GG102" s="732"/>
      <c r="GH102" s="732"/>
      <c r="GI102" s="732"/>
      <c r="GJ102" s="732"/>
      <c r="GK102" s="732"/>
      <c r="GL102" s="732"/>
      <c r="GM102" s="732"/>
      <c r="GN102" s="732"/>
      <c r="GO102" s="732"/>
      <c r="GP102" s="732"/>
      <c r="GQ102" s="732"/>
      <c r="GR102" s="732"/>
      <c r="GS102" s="732"/>
      <c r="GT102" s="732"/>
      <c r="GU102" s="732"/>
      <c r="GV102" s="732"/>
      <c r="GW102" s="732"/>
      <c r="GX102" s="732"/>
      <c r="GY102" s="732"/>
      <c r="GZ102" s="732"/>
      <c r="HA102" s="732"/>
      <c r="HB102" s="732"/>
      <c r="HC102" s="732"/>
      <c r="HD102" s="732"/>
      <c r="HE102" s="732"/>
      <c r="HF102" s="732"/>
      <c r="HG102" s="732"/>
      <c r="HH102" s="732"/>
      <c r="HI102" s="732"/>
      <c r="HJ102" s="732"/>
      <c r="HK102" s="732"/>
      <c r="HL102" s="732"/>
      <c r="HM102" s="732"/>
      <c r="HN102" s="732"/>
      <c r="HO102" s="732"/>
      <c r="HP102" s="732"/>
      <c r="HQ102" s="732"/>
      <c r="HR102" s="732"/>
      <c r="HS102" s="732"/>
      <c r="HT102" s="732"/>
      <c r="HU102" s="732"/>
      <c r="HV102" s="732"/>
      <c r="HW102" s="732"/>
      <c r="HX102" s="732"/>
      <c r="HY102" s="732"/>
      <c r="HZ102" s="732"/>
      <c r="IA102" s="732"/>
      <c r="IB102" s="732"/>
      <c r="IC102" s="732"/>
      <c r="ID102" s="732"/>
      <c r="IE102" s="732"/>
      <c r="IF102" s="732"/>
      <c r="IG102" s="732"/>
      <c r="IH102" s="732"/>
      <c r="II102" s="732"/>
      <c r="IJ102" s="732"/>
      <c r="IK102" s="732"/>
      <c r="IL102" s="732"/>
      <c r="IM102" s="732"/>
      <c r="IN102" s="732"/>
      <c r="IO102" s="732"/>
      <c r="IP102" s="732"/>
      <c r="IQ102" s="732"/>
      <c r="IR102" s="732"/>
      <c r="IS102" s="732"/>
    </row>
    <row r="103" s="563" customFormat="1" ht="15" spans="1:253">
      <c r="A103" s="719" t="s">
        <v>64</v>
      </c>
      <c r="B103" s="657" t="s">
        <v>179</v>
      </c>
      <c r="C103" s="698" t="s">
        <v>118</v>
      </c>
      <c r="D103" s="716" t="s">
        <v>23</v>
      </c>
      <c r="E103" s="720">
        <f>E102</f>
        <v>10.6</v>
      </c>
      <c r="F103" s="694">
        <f>F95</f>
        <v>143.94</v>
      </c>
      <c r="G103" s="694">
        <f t="shared" si="5"/>
        <v>1525.76</v>
      </c>
      <c r="H103" s="711"/>
      <c r="I103" s="711"/>
      <c r="J103" s="711"/>
      <c r="K103" s="711"/>
      <c r="L103" s="711"/>
      <c r="M103" s="695">
        <f t="shared" si="11"/>
        <v>997182.95</v>
      </c>
      <c r="N103" s="729"/>
      <c r="O103" s="729"/>
      <c r="P103" s="729"/>
      <c r="Q103" s="729"/>
      <c r="R103" s="729"/>
      <c r="S103" s="729"/>
      <c r="T103" s="729"/>
      <c r="U103" s="729"/>
      <c r="V103" s="729"/>
      <c r="W103" s="729"/>
      <c r="X103" s="729"/>
      <c r="Y103" s="729"/>
      <c r="Z103" s="729"/>
      <c r="AA103" s="729"/>
      <c r="AB103" s="729"/>
      <c r="AC103" s="729"/>
      <c r="AD103" s="729"/>
      <c r="AE103" s="729"/>
      <c r="AF103" s="729"/>
      <c r="AG103" s="729"/>
      <c r="AH103" s="729"/>
      <c r="AI103" s="729"/>
      <c r="AJ103" s="729"/>
      <c r="AK103" s="729"/>
      <c r="AL103" s="729"/>
      <c r="AM103" s="729"/>
      <c r="AN103" s="729"/>
      <c r="AO103" s="729"/>
      <c r="AP103" s="729"/>
      <c r="AQ103" s="729"/>
      <c r="AR103" s="729"/>
      <c r="AS103" s="729"/>
      <c r="AT103" s="729"/>
      <c r="AU103" s="729"/>
      <c r="AV103" s="729"/>
      <c r="AW103" s="729"/>
      <c r="AX103" s="729"/>
      <c r="AY103" s="729"/>
      <c r="AZ103" s="729"/>
      <c r="BA103" s="729"/>
      <c r="BB103" s="729"/>
      <c r="BC103" s="729"/>
      <c r="BD103" s="729"/>
      <c r="BE103" s="729"/>
      <c r="BF103" s="729"/>
      <c r="BG103" s="729"/>
      <c r="BH103" s="729"/>
      <c r="BI103" s="729"/>
      <c r="BJ103" s="729"/>
      <c r="BK103" s="729"/>
      <c r="BL103" s="729"/>
      <c r="BM103" s="729"/>
      <c r="BN103" s="729"/>
      <c r="BO103" s="729"/>
      <c r="BP103" s="729"/>
      <c r="BQ103" s="729"/>
      <c r="BR103" s="729"/>
      <c r="BS103" s="729"/>
      <c r="BT103" s="729"/>
      <c r="BU103" s="729"/>
      <c r="BV103" s="729"/>
      <c r="BW103" s="732"/>
      <c r="BX103" s="732"/>
      <c r="BY103" s="732"/>
      <c r="BZ103" s="732"/>
      <c r="CA103" s="732"/>
      <c r="CB103" s="732"/>
      <c r="CC103" s="732"/>
      <c r="CD103" s="732"/>
      <c r="CE103" s="732"/>
      <c r="CF103" s="732"/>
      <c r="CG103" s="732"/>
      <c r="CH103" s="732"/>
      <c r="CI103" s="732"/>
      <c r="CJ103" s="732"/>
      <c r="CK103" s="732"/>
      <c r="CL103" s="732"/>
      <c r="CM103" s="732"/>
      <c r="CN103" s="732"/>
      <c r="CO103" s="732"/>
      <c r="CP103" s="732"/>
      <c r="CQ103" s="732"/>
      <c r="CR103" s="732"/>
      <c r="CS103" s="732"/>
      <c r="CT103" s="732"/>
      <c r="CU103" s="732"/>
      <c r="CV103" s="732"/>
      <c r="CW103" s="732"/>
      <c r="CX103" s="732"/>
      <c r="CY103" s="732"/>
      <c r="CZ103" s="732"/>
      <c r="DA103" s="732"/>
      <c r="DB103" s="732"/>
      <c r="DC103" s="732"/>
      <c r="DD103" s="732"/>
      <c r="DE103" s="732"/>
      <c r="DF103" s="732"/>
      <c r="DG103" s="732"/>
      <c r="DH103" s="732"/>
      <c r="DI103" s="732"/>
      <c r="DJ103" s="732"/>
      <c r="DK103" s="732"/>
      <c r="DL103" s="732"/>
      <c r="DM103" s="732"/>
      <c r="DN103" s="732"/>
      <c r="DO103" s="732"/>
      <c r="DP103" s="732"/>
      <c r="DQ103" s="732"/>
      <c r="DR103" s="732"/>
      <c r="DS103" s="732"/>
      <c r="DT103" s="732"/>
      <c r="DU103" s="732"/>
      <c r="DV103" s="732"/>
      <c r="DW103" s="732"/>
      <c r="DX103" s="732"/>
      <c r="DY103" s="732"/>
      <c r="DZ103" s="732"/>
      <c r="EA103" s="732"/>
      <c r="EB103" s="732"/>
      <c r="EC103" s="732"/>
      <c r="ED103" s="732"/>
      <c r="EE103" s="732"/>
      <c r="EF103" s="732"/>
      <c r="EG103" s="732"/>
      <c r="EH103" s="732"/>
      <c r="EI103" s="732"/>
      <c r="EJ103" s="732"/>
      <c r="EK103" s="732"/>
      <c r="EL103" s="732"/>
      <c r="EM103" s="732"/>
      <c r="EN103" s="732"/>
      <c r="EO103" s="732"/>
      <c r="EP103" s="732"/>
      <c r="EQ103" s="732"/>
      <c r="ER103" s="732"/>
      <c r="ES103" s="732"/>
      <c r="ET103" s="732"/>
      <c r="EU103" s="732"/>
      <c r="EV103" s="732"/>
      <c r="EW103" s="732"/>
      <c r="EX103" s="732"/>
      <c r="EY103" s="732"/>
      <c r="EZ103" s="732"/>
      <c r="FA103" s="732"/>
      <c r="FB103" s="732"/>
      <c r="FC103" s="732"/>
      <c r="FD103" s="732"/>
      <c r="FE103" s="732"/>
      <c r="FF103" s="732"/>
      <c r="FG103" s="732"/>
      <c r="FH103" s="732"/>
      <c r="FI103" s="732"/>
      <c r="FJ103" s="732"/>
      <c r="FK103" s="732"/>
      <c r="FL103" s="732"/>
      <c r="FM103" s="732"/>
      <c r="FN103" s="732"/>
      <c r="FO103" s="732"/>
      <c r="FP103" s="732"/>
      <c r="FQ103" s="732"/>
      <c r="FR103" s="732"/>
      <c r="FS103" s="732"/>
      <c r="FT103" s="732"/>
      <c r="FU103" s="732"/>
      <c r="FV103" s="732"/>
      <c r="FW103" s="732"/>
      <c r="FX103" s="732"/>
      <c r="FY103" s="732"/>
      <c r="FZ103" s="732"/>
      <c r="GA103" s="732"/>
      <c r="GB103" s="732"/>
      <c r="GC103" s="732"/>
      <c r="GD103" s="732"/>
      <c r="GE103" s="732"/>
      <c r="GF103" s="732"/>
      <c r="GG103" s="732"/>
      <c r="GH103" s="732"/>
      <c r="GI103" s="732"/>
      <c r="GJ103" s="732"/>
      <c r="GK103" s="732"/>
      <c r="GL103" s="732"/>
      <c r="GM103" s="732"/>
      <c r="GN103" s="732"/>
      <c r="GO103" s="732"/>
      <c r="GP103" s="732"/>
      <c r="GQ103" s="732"/>
      <c r="GR103" s="732"/>
      <c r="GS103" s="732"/>
      <c r="GT103" s="732"/>
      <c r="GU103" s="732"/>
      <c r="GV103" s="732"/>
      <c r="GW103" s="732"/>
      <c r="GX103" s="732"/>
      <c r="GY103" s="732"/>
      <c r="GZ103" s="732"/>
      <c r="HA103" s="732"/>
      <c r="HB103" s="732"/>
      <c r="HC103" s="732"/>
      <c r="HD103" s="732"/>
      <c r="HE103" s="732"/>
      <c r="HF103" s="732"/>
      <c r="HG103" s="732"/>
      <c r="HH103" s="732"/>
      <c r="HI103" s="732"/>
      <c r="HJ103" s="732"/>
      <c r="HK103" s="732"/>
      <c r="HL103" s="732"/>
      <c r="HM103" s="732"/>
      <c r="HN103" s="732"/>
      <c r="HO103" s="732"/>
      <c r="HP103" s="732"/>
      <c r="HQ103" s="732"/>
      <c r="HR103" s="732"/>
      <c r="HS103" s="732"/>
      <c r="HT103" s="732"/>
      <c r="HU103" s="732"/>
      <c r="HV103" s="732"/>
      <c r="HW103" s="732"/>
      <c r="HX103" s="732"/>
      <c r="HY103" s="732"/>
      <c r="HZ103" s="732"/>
      <c r="IA103" s="732"/>
      <c r="IB103" s="732"/>
      <c r="IC103" s="732"/>
      <c r="ID103" s="732"/>
      <c r="IE103" s="732"/>
      <c r="IF103" s="732"/>
      <c r="IG103" s="732"/>
      <c r="IH103" s="732"/>
      <c r="II103" s="732"/>
      <c r="IJ103" s="732"/>
      <c r="IK103" s="732"/>
      <c r="IL103" s="732"/>
      <c r="IM103" s="732"/>
      <c r="IN103" s="732"/>
      <c r="IO103" s="732"/>
      <c r="IP103" s="732"/>
      <c r="IQ103" s="732"/>
      <c r="IR103" s="732"/>
      <c r="IS103" s="732"/>
    </row>
    <row r="104" s="563" customFormat="1" ht="15" spans="1:253">
      <c r="A104" s="719" t="s">
        <v>180</v>
      </c>
      <c r="B104" s="657" t="s">
        <v>181</v>
      </c>
      <c r="C104" s="698" t="s">
        <v>172</v>
      </c>
      <c r="D104" s="716" t="s">
        <v>17</v>
      </c>
      <c r="E104" s="720">
        <f>'PB VI - Memorial'!C113</f>
        <v>170.01</v>
      </c>
      <c r="F104" s="694">
        <v>73.63</v>
      </c>
      <c r="G104" s="694">
        <f t="shared" si="5"/>
        <v>12517.84</v>
      </c>
      <c r="H104" s="711"/>
      <c r="I104" s="711"/>
      <c r="J104" s="711"/>
      <c r="K104" s="711"/>
      <c r="L104" s="711"/>
      <c r="M104" s="695">
        <f t="shared" si="11"/>
        <v>997182.95</v>
      </c>
      <c r="N104" s="729"/>
      <c r="O104" s="729"/>
      <c r="P104" s="729"/>
      <c r="Q104" s="729"/>
      <c r="R104" s="729"/>
      <c r="S104" s="729"/>
      <c r="T104" s="729"/>
      <c r="U104" s="729"/>
      <c r="V104" s="729"/>
      <c r="W104" s="729"/>
      <c r="X104" s="729"/>
      <c r="Y104" s="729"/>
      <c r="Z104" s="729"/>
      <c r="AA104" s="729"/>
      <c r="AB104" s="729"/>
      <c r="AC104" s="729"/>
      <c r="AD104" s="729"/>
      <c r="AE104" s="729"/>
      <c r="AF104" s="729"/>
      <c r="AG104" s="729"/>
      <c r="AH104" s="729"/>
      <c r="AI104" s="729"/>
      <c r="AJ104" s="729"/>
      <c r="AK104" s="729"/>
      <c r="AL104" s="729"/>
      <c r="AM104" s="729"/>
      <c r="AN104" s="729"/>
      <c r="AO104" s="729"/>
      <c r="AP104" s="729"/>
      <c r="AQ104" s="729"/>
      <c r="AR104" s="729"/>
      <c r="AS104" s="729"/>
      <c r="AT104" s="729"/>
      <c r="AU104" s="729"/>
      <c r="AV104" s="729"/>
      <c r="AW104" s="729"/>
      <c r="AX104" s="729"/>
      <c r="AY104" s="729"/>
      <c r="AZ104" s="729"/>
      <c r="BA104" s="729"/>
      <c r="BB104" s="729"/>
      <c r="BC104" s="729"/>
      <c r="BD104" s="729"/>
      <c r="BE104" s="729"/>
      <c r="BF104" s="729"/>
      <c r="BG104" s="729"/>
      <c r="BH104" s="729"/>
      <c r="BI104" s="729"/>
      <c r="BJ104" s="729"/>
      <c r="BK104" s="729"/>
      <c r="BL104" s="729"/>
      <c r="BM104" s="729"/>
      <c r="BN104" s="729"/>
      <c r="BO104" s="729"/>
      <c r="BP104" s="729"/>
      <c r="BQ104" s="729"/>
      <c r="BR104" s="729"/>
      <c r="BS104" s="729"/>
      <c r="BT104" s="729"/>
      <c r="BU104" s="729"/>
      <c r="BV104" s="729"/>
      <c r="BW104" s="732"/>
      <c r="BX104" s="732"/>
      <c r="BY104" s="732"/>
      <c r="BZ104" s="732"/>
      <c r="CA104" s="732"/>
      <c r="CB104" s="732"/>
      <c r="CC104" s="732"/>
      <c r="CD104" s="732"/>
      <c r="CE104" s="732"/>
      <c r="CF104" s="732"/>
      <c r="CG104" s="732"/>
      <c r="CH104" s="732"/>
      <c r="CI104" s="732"/>
      <c r="CJ104" s="732"/>
      <c r="CK104" s="732"/>
      <c r="CL104" s="732"/>
      <c r="CM104" s="732"/>
      <c r="CN104" s="732"/>
      <c r="CO104" s="732"/>
      <c r="CP104" s="732"/>
      <c r="CQ104" s="732"/>
      <c r="CR104" s="732"/>
      <c r="CS104" s="732"/>
      <c r="CT104" s="732"/>
      <c r="CU104" s="732"/>
      <c r="CV104" s="732"/>
      <c r="CW104" s="732"/>
      <c r="CX104" s="732"/>
      <c r="CY104" s="732"/>
      <c r="CZ104" s="732"/>
      <c r="DA104" s="732"/>
      <c r="DB104" s="732"/>
      <c r="DC104" s="732"/>
      <c r="DD104" s="732"/>
      <c r="DE104" s="732"/>
      <c r="DF104" s="732"/>
      <c r="DG104" s="732"/>
      <c r="DH104" s="732"/>
      <c r="DI104" s="732"/>
      <c r="DJ104" s="732"/>
      <c r="DK104" s="732"/>
      <c r="DL104" s="732"/>
      <c r="DM104" s="732"/>
      <c r="DN104" s="732"/>
      <c r="DO104" s="732"/>
      <c r="DP104" s="732"/>
      <c r="DQ104" s="732"/>
      <c r="DR104" s="732"/>
      <c r="DS104" s="732"/>
      <c r="DT104" s="732"/>
      <c r="DU104" s="732"/>
      <c r="DV104" s="732"/>
      <c r="DW104" s="732"/>
      <c r="DX104" s="732"/>
      <c r="DY104" s="732"/>
      <c r="DZ104" s="732"/>
      <c r="EA104" s="732"/>
      <c r="EB104" s="732"/>
      <c r="EC104" s="732"/>
      <c r="ED104" s="732"/>
      <c r="EE104" s="732"/>
      <c r="EF104" s="732"/>
      <c r="EG104" s="732"/>
      <c r="EH104" s="732"/>
      <c r="EI104" s="732"/>
      <c r="EJ104" s="732"/>
      <c r="EK104" s="732"/>
      <c r="EL104" s="732"/>
      <c r="EM104" s="732"/>
      <c r="EN104" s="732"/>
      <c r="EO104" s="732"/>
      <c r="EP104" s="732"/>
      <c r="EQ104" s="732"/>
      <c r="ER104" s="732"/>
      <c r="ES104" s="732"/>
      <c r="ET104" s="732"/>
      <c r="EU104" s="732"/>
      <c r="EV104" s="732"/>
      <c r="EW104" s="732"/>
      <c r="EX104" s="732"/>
      <c r="EY104" s="732"/>
      <c r="EZ104" s="732"/>
      <c r="FA104" s="732"/>
      <c r="FB104" s="732"/>
      <c r="FC104" s="732"/>
      <c r="FD104" s="732"/>
      <c r="FE104" s="732"/>
      <c r="FF104" s="732"/>
      <c r="FG104" s="732"/>
      <c r="FH104" s="732"/>
      <c r="FI104" s="732"/>
      <c r="FJ104" s="732"/>
      <c r="FK104" s="732"/>
      <c r="FL104" s="732"/>
      <c r="FM104" s="732"/>
      <c r="FN104" s="732"/>
      <c r="FO104" s="732"/>
      <c r="FP104" s="732"/>
      <c r="FQ104" s="732"/>
      <c r="FR104" s="732"/>
      <c r="FS104" s="732"/>
      <c r="FT104" s="732"/>
      <c r="FU104" s="732"/>
      <c r="FV104" s="732"/>
      <c r="FW104" s="732"/>
      <c r="FX104" s="732"/>
      <c r="FY104" s="732"/>
      <c r="FZ104" s="732"/>
      <c r="GA104" s="732"/>
      <c r="GB104" s="732"/>
      <c r="GC104" s="732"/>
      <c r="GD104" s="732"/>
      <c r="GE104" s="732"/>
      <c r="GF104" s="732"/>
      <c r="GG104" s="732"/>
      <c r="GH104" s="732"/>
      <c r="GI104" s="732"/>
      <c r="GJ104" s="732"/>
      <c r="GK104" s="732"/>
      <c r="GL104" s="732"/>
      <c r="GM104" s="732"/>
      <c r="GN104" s="732"/>
      <c r="GO104" s="732"/>
      <c r="GP104" s="732"/>
      <c r="GQ104" s="732"/>
      <c r="GR104" s="732"/>
      <c r="GS104" s="732"/>
      <c r="GT104" s="732"/>
      <c r="GU104" s="732"/>
      <c r="GV104" s="732"/>
      <c r="GW104" s="732"/>
      <c r="GX104" s="732"/>
      <c r="GY104" s="732"/>
      <c r="GZ104" s="732"/>
      <c r="HA104" s="732"/>
      <c r="HB104" s="732"/>
      <c r="HC104" s="732"/>
      <c r="HD104" s="732"/>
      <c r="HE104" s="732"/>
      <c r="HF104" s="732"/>
      <c r="HG104" s="732"/>
      <c r="HH104" s="732"/>
      <c r="HI104" s="732"/>
      <c r="HJ104" s="732"/>
      <c r="HK104" s="732"/>
      <c r="HL104" s="732"/>
      <c r="HM104" s="732"/>
      <c r="HN104" s="732"/>
      <c r="HO104" s="732"/>
      <c r="HP104" s="732"/>
      <c r="HQ104" s="732"/>
      <c r="HR104" s="732"/>
      <c r="HS104" s="732"/>
      <c r="HT104" s="732"/>
      <c r="HU104" s="732"/>
      <c r="HV104" s="732"/>
      <c r="HW104" s="732"/>
      <c r="HX104" s="732"/>
      <c r="HY104" s="732"/>
      <c r="HZ104" s="732"/>
      <c r="IA104" s="732"/>
      <c r="IB104" s="732"/>
      <c r="IC104" s="732"/>
      <c r="ID104" s="732"/>
      <c r="IE104" s="732"/>
      <c r="IF104" s="732"/>
      <c r="IG104" s="732"/>
      <c r="IH104" s="732"/>
      <c r="II104" s="732"/>
      <c r="IJ104" s="732"/>
      <c r="IK104" s="732"/>
      <c r="IL104" s="732"/>
      <c r="IM104" s="732"/>
      <c r="IN104" s="732"/>
      <c r="IO104" s="732"/>
      <c r="IP104" s="732"/>
      <c r="IQ104" s="732"/>
      <c r="IR104" s="732"/>
      <c r="IS104" s="732"/>
    </row>
    <row r="105" s="563" customFormat="1" ht="15" spans="1:253">
      <c r="A105" s="719" t="s">
        <v>145</v>
      </c>
      <c r="B105" s="657" t="s">
        <v>182</v>
      </c>
      <c r="C105" s="698" t="s">
        <v>123</v>
      </c>
      <c r="D105" s="716" t="s">
        <v>69</v>
      </c>
      <c r="E105" s="720">
        <f>'PB VI - Memorial'!B115</f>
        <v>14</v>
      </c>
      <c r="F105" s="694">
        <v>11.92</v>
      </c>
      <c r="G105" s="694">
        <f t="shared" si="5"/>
        <v>166.88</v>
      </c>
      <c r="H105" s="711"/>
      <c r="I105" s="711"/>
      <c r="J105" s="711"/>
      <c r="K105" s="711"/>
      <c r="L105" s="711"/>
      <c r="M105" s="695">
        <f t="shared" si="11"/>
        <v>997182.95</v>
      </c>
      <c r="N105" s="729"/>
      <c r="O105" s="729"/>
      <c r="P105" s="729"/>
      <c r="Q105" s="729"/>
      <c r="R105" s="729"/>
      <c r="S105" s="729"/>
      <c r="T105" s="729"/>
      <c r="U105" s="729"/>
      <c r="V105" s="729"/>
      <c r="W105" s="729"/>
      <c r="X105" s="729"/>
      <c r="Y105" s="729"/>
      <c r="Z105" s="729"/>
      <c r="AA105" s="729"/>
      <c r="AB105" s="729"/>
      <c r="AC105" s="729"/>
      <c r="AD105" s="729"/>
      <c r="AE105" s="729"/>
      <c r="AF105" s="729"/>
      <c r="AG105" s="729"/>
      <c r="AH105" s="729"/>
      <c r="AI105" s="729"/>
      <c r="AJ105" s="729"/>
      <c r="AK105" s="729"/>
      <c r="AL105" s="729"/>
      <c r="AM105" s="729"/>
      <c r="AN105" s="729"/>
      <c r="AO105" s="729"/>
      <c r="AP105" s="729"/>
      <c r="AQ105" s="729"/>
      <c r="AR105" s="729"/>
      <c r="AS105" s="729"/>
      <c r="AT105" s="729"/>
      <c r="AU105" s="729"/>
      <c r="AV105" s="729"/>
      <c r="AW105" s="729"/>
      <c r="AX105" s="729"/>
      <c r="AY105" s="729"/>
      <c r="AZ105" s="729"/>
      <c r="BA105" s="729"/>
      <c r="BB105" s="729"/>
      <c r="BC105" s="729"/>
      <c r="BD105" s="729"/>
      <c r="BE105" s="729"/>
      <c r="BF105" s="729"/>
      <c r="BG105" s="729"/>
      <c r="BH105" s="729"/>
      <c r="BI105" s="729"/>
      <c r="BJ105" s="729"/>
      <c r="BK105" s="729"/>
      <c r="BL105" s="729"/>
      <c r="BM105" s="729"/>
      <c r="BN105" s="729"/>
      <c r="BO105" s="729"/>
      <c r="BP105" s="729"/>
      <c r="BQ105" s="729"/>
      <c r="BR105" s="729"/>
      <c r="BS105" s="729"/>
      <c r="BT105" s="729"/>
      <c r="BU105" s="729"/>
      <c r="BV105" s="729"/>
      <c r="BW105" s="732"/>
      <c r="BX105" s="732"/>
      <c r="BY105" s="732"/>
      <c r="BZ105" s="732"/>
      <c r="CA105" s="732"/>
      <c r="CB105" s="732"/>
      <c r="CC105" s="732"/>
      <c r="CD105" s="732"/>
      <c r="CE105" s="732"/>
      <c r="CF105" s="732"/>
      <c r="CG105" s="732"/>
      <c r="CH105" s="732"/>
      <c r="CI105" s="732"/>
      <c r="CJ105" s="732"/>
      <c r="CK105" s="732"/>
      <c r="CL105" s="732"/>
      <c r="CM105" s="732"/>
      <c r="CN105" s="732"/>
      <c r="CO105" s="732"/>
      <c r="CP105" s="732"/>
      <c r="CQ105" s="732"/>
      <c r="CR105" s="732"/>
      <c r="CS105" s="732"/>
      <c r="CT105" s="732"/>
      <c r="CU105" s="732"/>
      <c r="CV105" s="732"/>
      <c r="CW105" s="732"/>
      <c r="CX105" s="732"/>
      <c r="CY105" s="732"/>
      <c r="CZ105" s="732"/>
      <c r="DA105" s="732"/>
      <c r="DB105" s="732"/>
      <c r="DC105" s="732"/>
      <c r="DD105" s="732"/>
      <c r="DE105" s="732"/>
      <c r="DF105" s="732"/>
      <c r="DG105" s="732"/>
      <c r="DH105" s="732"/>
      <c r="DI105" s="732"/>
      <c r="DJ105" s="732"/>
      <c r="DK105" s="732"/>
      <c r="DL105" s="732"/>
      <c r="DM105" s="732"/>
      <c r="DN105" s="732"/>
      <c r="DO105" s="732"/>
      <c r="DP105" s="732"/>
      <c r="DQ105" s="732"/>
      <c r="DR105" s="732"/>
      <c r="DS105" s="732"/>
      <c r="DT105" s="732"/>
      <c r="DU105" s="732"/>
      <c r="DV105" s="732"/>
      <c r="DW105" s="732"/>
      <c r="DX105" s="732"/>
      <c r="DY105" s="732"/>
      <c r="DZ105" s="732"/>
      <c r="EA105" s="732"/>
      <c r="EB105" s="732"/>
      <c r="EC105" s="732"/>
      <c r="ED105" s="732"/>
      <c r="EE105" s="732"/>
      <c r="EF105" s="732"/>
      <c r="EG105" s="732"/>
      <c r="EH105" s="732"/>
      <c r="EI105" s="732"/>
      <c r="EJ105" s="732"/>
      <c r="EK105" s="732"/>
      <c r="EL105" s="732"/>
      <c r="EM105" s="732"/>
      <c r="EN105" s="732"/>
      <c r="EO105" s="732"/>
      <c r="EP105" s="732"/>
      <c r="EQ105" s="732"/>
      <c r="ER105" s="732"/>
      <c r="ES105" s="732"/>
      <c r="ET105" s="732"/>
      <c r="EU105" s="732"/>
      <c r="EV105" s="732"/>
      <c r="EW105" s="732"/>
      <c r="EX105" s="732"/>
      <c r="EY105" s="732"/>
      <c r="EZ105" s="732"/>
      <c r="FA105" s="732"/>
      <c r="FB105" s="732"/>
      <c r="FC105" s="732"/>
      <c r="FD105" s="732"/>
      <c r="FE105" s="732"/>
      <c r="FF105" s="732"/>
      <c r="FG105" s="732"/>
      <c r="FH105" s="732"/>
      <c r="FI105" s="732"/>
      <c r="FJ105" s="732"/>
      <c r="FK105" s="732"/>
      <c r="FL105" s="732"/>
      <c r="FM105" s="732"/>
      <c r="FN105" s="732"/>
      <c r="FO105" s="732"/>
      <c r="FP105" s="732"/>
      <c r="FQ105" s="732"/>
      <c r="FR105" s="732"/>
      <c r="FS105" s="732"/>
      <c r="FT105" s="732"/>
      <c r="FU105" s="732"/>
      <c r="FV105" s="732"/>
      <c r="FW105" s="732"/>
      <c r="FX105" s="732"/>
      <c r="FY105" s="732"/>
      <c r="FZ105" s="732"/>
      <c r="GA105" s="732"/>
      <c r="GB105" s="732"/>
      <c r="GC105" s="732"/>
      <c r="GD105" s="732"/>
      <c r="GE105" s="732"/>
      <c r="GF105" s="732"/>
      <c r="GG105" s="732"/>
      <c r="GH105" s="732"/>
      <c r="GI105" s="732"/>
      <c r="GJ105" s="732"/>
      <c r="GK105" s="732"/>
      <c r="GL105" s="732"/>
      <c r="GM105" s="732"/>
      <c r="GN105" s="732"/>
      <c r="GO105" s="732"/>
      <c r="GP105" s="732"/>
      <c r="GQ105" s="732"/>
      <c r="GR105" s="732"/>
      <c r="GS105" s="732"/>
      <c r="GT105" s="732"/>
      <c r="GU105" s="732"/>
      <c r="GV105" s="732"/>
      <c r="GW105" s="732"/>
      <c r="GX105" s="732"/>
      <c r="GY105" s="732"/>
      <c r="GZ105" s="732"/>
      <c r="HA105" s="732"/>
      <c r="HB105" s="732"/>
      <c r="HC105" s="732"/>
      <c r="HD105" s="732"/>
      <c r="HE105" s="732"/>
      <c r="HF105" s="732"/>
      <c r="HG105" s="732"/>
      <c r="HH105" s="732"/>
      <c r="HI105" s="732"/>
      <c r="HJ105" s="732"/>
      <c r="HK105" s="732"/>
      <c r="HL105" s="732"/>
      <c r="HM105" s="732"/>
      <c r="HN105" s="732"/>
      <c r="HO105" s="732"/>
      <c r="HP105" s="732"/>
      <c r="HQ105" s="732"/>
      <c r="HR105" s="732"/>
      <c r="HS105" s="732"/>
      <c r="HT105" s="732"/>
      <c r="HU105" s="732"/>
      <c r="HV105" s="732"/>
      <c r="HW105" s="732"/>
      <c r="HX105" s="732"/>
      <c r="HY105" s="732"/>
      <c r="HZ105" s="732"/>
      <c r="IA105" s="732"/>
      <c r="IB105" s="732"/>
      <c r="IC105" s="732"/>
      <c r="ID105" s="732"/>
      <c r="IE105" s="732"/>
      <c r="IF105" s="732"/>
      <c r="IG105" s="732"/>
      <c r="IH105" s="732"/>
      <c r="II105" s="732"/>
      <c r="IJ105" s="732"/>
      <c r="IK105" s="732"/>
      <c r="IL105" s="732"/>
      <c r="IM105" s="732"/>
      <c r="IN105" s="732"/>
      <c r="IO105" s="732"/>
      <c r="IP105" s="732"/>
      <c r="IQ105" s="732"/>
      <c r="IR105" s="732"/>
      <c r="IS105" s="732"/>
    </row>
    <row r="106" s="563" customFormat="1" ht="15" spans="1:253">
      <c r="A106" s="719" t="s">
        <v>148</v>
      </c>
      <c r="B106" s="657" t="s">
        <v>183</v>
      </c>
      <c r="C106" s="698" t="s">
        <v>126</v>
      </c>
      <c r="D106" s="716" t="s">
        <v>69</v>
      </c>
      <c r="E106" s="720">
        <f>'PB VI - Memorial'!C115</f>
        <v>303.91</v>
      </c>
      <c r="F106" s="694">
        <v>11.16</v>
      </c>
      <c r="G106" s="694">
        <f t="shared" si="5"/>
        <v>3391.64</v>
      </c>
      <c r="H106" s="711"/>
      <c r="I106" s="711"/>
      <c r="J106" s="711"/>
      <c r="K106" s="711"/>
      <c r="L106" s="711"/>
      <c r="M106" s="695">
        <f t="shared" si="11"/>
        <v>997182.95</v>
      </c>
      <c r="N106" s="729"/>
      <c r="O106" s="729"/>
      <c r="P106" s="729"/>
      <c r="Q106" s="729"/>
      <c r="R106" s="729"/>
      <c r="S106" s="729"/>
      <c r="T106" s="729"/>
      <c r="U106" s="729"/>
      <c r="V106" s="729"/>
      <c r="W106" s="729"/>
      <c r="X106" s="729"/>
      <c r="Y106" s="729"/>
      <c r="Z106" s="729"/>
      <c r="AA106" s="729"/>
      <c r="AB106" s="729"/>
      <c r="AC106" s="729"/>
      <c r="AD106" s="729"/>
      <c r="AE106" s="729"/>
      <c r="AF106" s="729"/>
      <c r="AG106" s="729"/>
      <c r="AH106" s="729"/>
      <c r="AI106" s="729"/>
      <c r="AJ106" s="729"/>
      <c r="AK106" s="729"/>
      <c r="AL106" s="729"/>
      <c r="AM106" s="729"/>
      <c r="AN106" s="729"/>
      <c r="AO106" s="729"/>
      <c r="AP106" s="729"/>
      <c r="AQ106" s="729"/>
      <c r="AR106" s="729"/>
      <c r="AS106" s="729"/>
      <c r="AT106" s="729"/>
      <c r="AU106" s="729"/>
      <c r="AV106" s="729"/>
      <c r="AW106" s="729"/>
      <c r="AX106" s="729"/>
      <c r="AY106" s="729"/>
      <c r="AZ106" s="729"/>
      <c r="BA106" s="729"/>
      <c r="BB106" s="729"/>
      <c r="BC106" s="729"/>
      <c r="BD106" s="729"/>
      <c r="BE106" s="729"/>
      <c r="BF106" s="729"/>
      <c r="BG106" s="729"/>
      <c r="BH106" s="729"/>
      <c r="BI106" s="729"/>
      <c r="BJ106" s="729"/>
      <c r="BK106" s="729"/>
      <c r="BL106" s="729"/>
      <c r="BM106" s="729"/>
      <c r="BN106" s="729"/>
      <c r="BO106" s="729"/>
      <c r="BP106" s="729"/>
      <c r="BQ106" s="729"/>
      <c r="BR106" s="729"/>
      <c r="BS106" s="729"/>
      <c r="BT106" s="729"/>
      <c r="BU106" s="729"/>
      <c r="BV106" s="729"/>
      <c r="BW106" s="732"/>
      <c r="BX106" s="732"/>
      <c r="BY106" s="732"/>
      <c r="BZ106" s="732"/>
      <c r="CA106" s="732"/>
      <c r="CB106" s="732"/>
      <c r="CC106" s="732"/>
      <c r="CD106" s="732"/>
      <c r="CE106" s="732"/>
      <c r="CF106" s="732"/>
      <c r="CG106" s="732"/>
      <c r="CH106" s="732"/>
      <c r="CI106" s="732"/>
      <c r="CJ106" s="732"/>
      <c r="CK106" s="732"/>
      <c r="CL106" s="732"/>
      <c r="CM106" s="732"/>
      <c r="CN106" s="732"/>
      <c r="CO106" s="732"/>
      <c r="CP106" s="732"/>
      <c r="CQ106" s="732"/>
      <c r="CR106" s="732"/>
      <c r="CS106" s="732"/>
      <c r="CT106" s="732"/>
      <c r="CU106" s="732"/>
      <c r="CV106" s="732"/>
      <c r="CW106" s="732"/>
      <c r="CX106" s="732"/>
      <c r="CY106" s="732"/>
      <c r="CZ106" s="732"/>
      <c r="DA106" s="732"/>
      <c r="DB106" s="732"/>
      <c r="DC106" s="732"/>
      <c r="DD106" s="732"/>
      <c r="DE106" s="732"/>
      <c r="DF106" s="732"/>
      <c r="DG106" s="732"/>
      <c r="DH106" s="732"/>
      <c r="DI106" s="732"/>
      <c r="DJ106" s="732"/>
      <c r="DK106" s="732"/>
      <c r="DL106" s="732"/>
      <c r="DM106" s="732"/>
      <c r="DN106" s="732"/>
      <c r="DO106" s="732"/>
      <c r="DP106" s="732"/>
      <c r="DQ106" s="732"/>
      <c r="DR106" s="732"/>
      <c r="DS106" s="732"/>
      <c r="DT106" s="732"/>
      <c r="DU106" s="732"/>
      <c r="DV106" s="732"/>
      <c r="DW106" s="732"/>
      <c r="DX106" s="732"/>
      <c r="DY106" s="732"/>
      <c r="DZ106" s="732"/>
      <c r="EA106" s="732"/>
      <c r="EB106" s="732"/>
      <c r="EC106" s="732"/>
      <c r="ED106" s="732"/>
      <c r="EE106" s="732"/>
      <c r="EF106" s="732"/>
      <c r="EG106" s="732"/>
      <c r="EH106" s="732"/>
      <c r="EI106" s="732"/>
      <c r="EJ106" s="732"/>
      <c r="EK106" s="732"/>
      <c r="EL106" s="732"/>
      <c r="EM106" s="732"/>
      <c r="EN106" s="732"/>
      <c r="EO106" s="732"/>
      <c r="EP106" s="732"/>
      <c r="EQ106" s="732"/>
      <c r="ER106" s="732"/>
      <c r="ES106" s="732"/>
      <c r="ET106" s="732"/>
      <c r="EU106" s="732"/>
      <c r="EV106" s="732"/>
      <c r="EW106" s="732"/>
      <c r="EX106" s="732"/>
      <c r="EY106" s="732"/>
      <c r="EZ106" s="732"/>
      <c r="FA106" s="732"/>
      <c r="FB106" s="732"/>
      <c r="FC106" s="732"/>
      <c r="FD106" s="732"/>
      <c r="FE106" s="732"/>
      <c r="FF106" s="732"/>
      <c r="FG106" s="732"/>
      <c r="FH106" s="732"/>
      <c r="FI106" s="732"/>
      <c r="FJ106" s="732"/>
      <c r="FK106" s="732"/>
      <c r="FL106" s="732"/>
      <c r="FM106" s="732"/>
      <c r="FN106" s="732"/>
      <c r="FO106" s="732"/>
      <c r="FP106" s="732"/>
      <c r="FQ106" s="732"/>
      <c r="FR106" s="732"/>
      <c r="FS106" s="732"/>
      <c r="FT106" s="732"/>
      <c r="FU106" s="732"/>
      <c r="FV106" s="732"/>
      <c r="FW106" s="732"/>
      <c r="FX106" s="732"/>
      <c r="FY106" s="732"/>
      <c r="FZ106" s="732"/>
      <c r="GA106" s="732"/>
      <c r="GB106" s="732"/>
      <c r="GC106" s="732"/>
      <c r="GD106" s="732"/>
      <c r="GE106" s="732"/>
      <c r="GF106" s="732"/>
      <c r="GG106" s="732"/>
      <c r="GH106" s="732"/>
      <c r="GI106" s="732"/>
      <c r="GJ106" s="732"/>
      <c r="GK106" s="732"/>
      <c r="GL106" s="732"/>
      <c r="GM106" s="732"/>
      <c r="GN106" s="732"/>
      <c r="GO106" s="732"/>
      <c r="GP106" s="732"/>
      <c r="GQ106" s="732"/>
      <c r="GR106" s="732"/>
      <c r="GS106" s="732"/>
      <c r="GT106" s="732"/>
      <c r="GU106" s="732"/>
      <c r="GV106" s="732"/>
      <c r="GW106" s="732"/>
      <c r="GX106" s="732"/>
      <c r="GY106" s="732"/>
      <c r="GZ106" s="732"/>
      <c r="HA106" s="732"/>
      <c r="HB106" s="732"/>
      <c r="HC106" s="732"/>
      <c r="HD106" s="732"/>
      <c r="HE106" s="732"/>
      <c r="HF106" s="732"/>
      <c r="HG106" s="732"/>
      <c r="HH106" s="732"/>
      <c r="HI106" s="732"/>
      <c r="HJ106" s="732"/>
      <c r="HK106" s="732"/>
      <c r="HL106" s="732"/>
      <c r="HM106" s="732"/>
      <c r="HN106" s="732"/>
      <c r="HO106" s="732"/>
      <c r="HP106" s="732"/>
      <c r="HQ106" s="732"/>
      <c r="HR106" s="732"/>
      <c r="HS106" s="732"/>
      <c r="HT106" s="732"/>
      <c r="HU106" s="732"/>
      <c r="HV106" s="732"/>
      <c r="HW106" s="732"/>
      <c r="HX106" s="732"/>
      <c r="HY106" s="732"/>
      <c r="HZ106" s="732"/>
      <c r="IA106" s="732"/>
      <c r="IB106" s="732"/>
      <c r="IC106" s="732"/>
      <c r="ID106" s="732"/>
      <c r="IE106" s="732"/>
      <c r="IF106" s="732"/>
      <c r="IG106" s="732"/>
      <c r="IH106" s="732"/>
      <c r="II106" s="732"/>
      <c r="IJ106" s="732"/>
      <c r="IK106" s="732"/>
      <c r="IL106" s="732"/>
      <c r="IM106" s="732"/>
      <c r="IN106" s="732"/>
      <c r="IO106" s="732"/>
      <c r="IP106" s="732"/>
      <c r="IQ106" s="732"/>
      <c r="IR106" s="732"/>
      <c r="IS106" s="732"/>
    </row>
    <row r="107" s="563" customFormat="1" ht="15" spans="1:253">
      <c r="A107" s="719" t="s">
        <v>151</v>
      </c>
      <c r="B107" s="657" t="s">
        <v>184</v>
      </c>
      <c r="C107" s="698" t="s">
        <v>129</v>
      </c>
      <c r="D107" s="716" t="s">
        <v>69</v>
      </c>
      <c r="E107" s="720">
        <f>'PB VI - Memorial'!D115</f>
        <v>72.36</v>
      </c>
      <c r="F107" s="694">
        <v>8.97</v>
      </c>
      <c r="G107" s="694">
        <f t="shared" si="5"/>
        <v>649.07</v>
      </c>
      <c r="H107" s="711"/>
      <c r="I107" s="711"/>
      <c r="J107" s="711"/>
      <c r="K107" s="711"/>
      <c r="L107" s="711"/>
      <c r="M107" s="695">
        <f t="shared" si="11"/>
        <v>997182.95</v>
      </c>
      <c r="N107" s="729"/>
      <c r="O107" s="729"/>
      <c r="P107" s="729"/>
      <c r="Q107" s="729"/>
      <c r="R107" s="729"/>
      <c r="S107" s="729"/>
      <c r="T107" s="729"/>
      <c r="U107" s="729"/>
      <c r="V107" s="729"/>
      <c r="W107" s="729"/>
      <c r="X107" s="729"/>
      <c r="Y107" s="729"/>
      <c r="Z107" s="729"/>
      <c r="AA107" s="729"/>
      <c r="AB107" s="729"/>
      <c r="AC107" s="729"/>
      <c r="AD107" s="729"/>
      <c r="AE107" s="729"/>
      <c r="AF107" s="729"/>
      <c r="AG107" s="729"/>
      <c r="AH107" s="729"/>
      <c r="AI107" s="729"/>
      <c r="AJ107" s="729"/>
      <c r="AK107" s="729"/>
      <c r="AL107" s="729"/>
      <c r="AM107" s="729"/>
      <c r="AN107" s="729"/>
      <c r="AO107" s="729"/>
      <c r="AP107" s="729"/>
      <c r="AQ107" s="729"/>
      <c r="AR107" s="729"/>
      <c r="AS107" s="729"/>
      <c r="AT107" s="729"/>
      <c r="AU107" s="729"/>
      <c r="AV107" s="729"/>
      <c r="AW107" s="729"/>
      <c r="AX107" s="729"/>
      <c r="AY107" s="729"/>
      <c r="AZ107" s="729"/>
      <c r="BA107" s="729"/>
      <c r="BB107" s="729"/>
      <c r="BC107" s="729"/>
      <c r="BD107" s="729"/>
      <c r="BE107" s="729"/>
      <c r="BF107" s="729"/>
      <c r="BG107" s="729"/>
      <c r="BH107" s="729"/>
      <c r="BI107" s="729"/>
      <c r="BJ107" s="729"/>
      <c r="BK107" s="729"/>
      <c r="BL107" s="729"/>
      <c r="BM107" s="729"/>
      <c r="BN107" s="729"/>
      <c r="BO107" s="729"/>
      <c r="BP107" s="729"/>
      <c r="BQ107" s="729"/>
      <c r="BR107" s="729"/>
      <c r="BS107" s="729"/>
      <c r="BT107" s="729"/>
      <c r="BU107" s="729"/>
      <c r="BV107" s="729"/>
      <c r="BW107" s="732"/>
      <c r="BX107" s="732"/>
      <c r="BY107" s="732"/>
      <c r="BZ107" s="732"/>
      <c r="CA107" s="732"/>
      <c r="CB107" s="732"/>
      <c r="CC107" s="732"/>
      <c r="CD107" s="732"/>
      <c r="CE107" s="732"/>
      <c r="CF107" s="732"/>
      <c r="CG107" s="732"/>
      <c r="CH107" s="732"/>
      <c r="CI107" s="732"/>
      <c r="CJ107" s="732"/>
      <c r="CK107" s="732"/>
      <c r="CL107" s="732"/>
      <c r="CM107" s="732"/>
      <c r="CN107" s="732"/>
      <c r="CO107" s="732"/>
      <c r="CP107" s="732"/>
      <c r="CQ107" s="732"/>
      <c r="CR107" s="732"/>
      <c r="CS107" s="732"/>
      <c r="CT107" s="732"/>
      <c r="CU107" s="732"/>
      <c r="CV107" s="732"/>
      <c r="CW107" s="732"/>
      <c r="CX107" s="732"/>
      <c r="CY107" s="732"/>
      <c r="CZ107" s="732"/>
      <c r="DA107" s="732"/>
      <c r="DB107" s="732"/>
      <c r="DC107" s="732"/>
      <c r="DD107" s="732"/>
      <c r="DE107" s="732"/>
      <c r="DF107" s="732"/>
      <c r="DG107" s="732"/>
      <c r="DH107" s="732"/>
      <c r="DI107" s="732"/>
      <c r="DJ107" s="732"/>
      <c r="DK107" s="732"/>
      <c r="DL107" s="732"/>
      <c r="DM107" s="732"/>
      <c r="DN107" s="732"/>
      <c r="DO107" s="732"/>
      <c r="DP107" s="732"/>
      <c r="DQ107" s="732"/>
      <c r="DR107" s="732"/>
      <c r="DS107" s="732"/>
      <c r="DT107" s="732"/>
      <c r="DU107" s="732"/>
      <c r="DV107" s="732"/>
      <c r="DW107" s="732"/>
      <c r="DX107" s="732"/>
      <c r="DY107" s="732"/>
      <c r="DZ107" s="732"/>
      <c r="EA107" s="732"/>
      <c r="EB107" s="732"/>
      <c r="EC107" s="732"/>
      <c r="ED107" s="732"/>
      <c r="EE107" s="732"/>
      <c r="EF107" s="732"/>
      <c r="EG107" s="732"/>
      <c r="EH107" s="732"/>
      <c r="EI107" s="732"/>
      <c r="EJ107" s="732"/>
      <c r="EK107" s="732"/>
      <c r="EL107" s="732"/>
      <c r="EM107" s="732"/>
      <c r="EN107" s="732"/>
      <c r="EO107" s="732"/>
      <c r="EP107" s="732"/>
      <c r="EQ107" s="732"/>
      <c r="ER107" s="732"/>
      <c r="ES107" s="732"/>
      <c r="ET107" s="732"/>
      <c r="EU107" s="732"/>
      <c r="EV107" s="732"/>
      <c r="EW107" s="732"/>
      <c r="EX107" s="732"/>
      <c r="EY107" s="732"/>
      <c r="EZ107" s="732"/>
      <c r="FA107" s="732"/>
      <c r="FB107" s="732"/>
      <c r="FC107" s="732"/>
      <c r="FD107" s="732"/>
      <c r="FE107" s="732"/>
      <c r="FF107" s="732"/>
      <c r="FG107" s="732"/>
      <c r="FH107" s="732"/>
      <c r="FI107" s="732"/>
      <c r="FJ107" s="732"/>
      <c r="FK107" s="732"/>
      <c r="FL107" s="732"/>
      <c r="FM107" s="732"/>
      <c r="FN107" s="732"/>
      <c r="FO107" s="732"/>
      <c r="FP107" s="732"/>
      <c r="FQ107" s="732"/>
      <c r="FR107" s="732"/>
      <c r="FS107" s="732"/>
      <c r="FT107" s="732"/>
      <c r="FU107" s="732"/>
      <c r="FV107" s="732"/>
      <c r="FW107" s="732"/>
      <c r="FX107" s="732"/>
      <c r="FY107" s="732"/>
      <c r="FZ107" s="732"/>
      <c r="GA107" s="732"/>
      <c r="GB107" s="732"/>
      <c r="GC107" s="732"/>
      <c r="GD107" s="732"/>
      <c r="GE107" s="732"/>
      <c r="GF107" s="732"/>
      <c r="GG107" s="732"/>
      <c r="GH107" s="732"/>
      <c r="GI107" s="732"/>
      <c r="GJ107" s="732"/>
      <c r="GK107" s="732"/>
      <c r="GL107" s="732"/>
      <c r="GM107" s="732"/>
      <c r="GN107" s="732"/>
      <c r="GO107" s="732"/>
      <c r="GP107" s="732"/>
      <c r="GQ107" s="732"/>
      <c r="GR107" s="732"/>
      <c r="GS107" s="732"/>
      <c r="GT107" s="732"/>
      <c r="GU107" s="732"/>
      <c r="GV107" s="732"/>
      <c r="GW107" s="732"/>
      <c r="GX107" s="732"/>
      <c r="GY107" s="732"/>
      <c r="GZ107" s="732"/>
      <c r="HA107" s="732"/>
      <c r="HB107" s="732"/>
      <c r="HC107" s="732"/>
      <c r="HD107" s="732"/>
      <c r="HE107" s="732"/>
      <c r="HF107" s="732"/>
      <c r="HG107" s="732"/>
      <c r="HH107" s="732"/>
      <c r="HI107" s="732"/>
      <c r="HJ107" s="732"/>
      <c r="HK107" s="732"/>
      <c r="HL107" s="732"/>
      <c r="HM107" s="732"/>
      <c r="HN107" s="732"/>
      <c r="HO107" s="732"/>
      <c r="HP107" s="732"/>
      <c r="HQ107" s="732"/>
      <c r="HR107" s="732"/>
      <c r="HS107" s="732"/>
      <c r="HT107" s="732"/>
      <c r="HU107" s="732"/>
      <c r="HV107" s="732"/>
      <c r="HW107" s="732"/>
      <c r="HX107" s="732"/>
      <c r="HY107" s="732"/>
      <c r="HZ107" s="732"/>
      <c r="IA107" s="732"/>
      <c r="IB107" s="732"/>
      <c r="IC107" s="732"/>
      <c r="ID107" s="732"/>
      <c r="IE107" s="732"/>
      <c r="IF107" s="732"/>
      <c r="IG107" s="732"/>
      <c r="IH107" s="732"/>
      <c r="II107" s="732"/>
      <c r="IJ107" s="732"/>
      <c r="IK107" s="732"/>
      <c r="IL107" s="732"/>
      <c r="IM107" s="732"/>
      <c r="IN107" s="732"/>
      <c r="IO107" s="732"/>
      <c r="IP107" s="732"/>
      <c r="IQ107" s="732"/>
      <c r="IR107" s="732"/>
      <c r="IS107" s="732"/>
    </row>
    <row r="108" s="563" customFormat="1" ht="15" spans="1:253">
      <c r="A108" s="719" t="s">
        <v>154</v>
      </c>
      <c r="B108" s="657" t="s">
        <v>185</v>
      </c>
      <c r="C108" s="698" t="s">
        <v>132</v>
      </c>
      <c r="D108" s="716" t="s">
        <v>69</v>
      </c>
      <c r="E108" s="720">
        <f>'PB VI - Memorial'!E115</f>
        <v>6.91</v>
      </c>
      <c r="F108" s="694">
        <v>7.35</v>
      </c>
      <c r="G108" s="694">
        <f t="shared" ref="G108" si="12">ROUND(E108*F108,2)</f>
        <v>50.79</v>
      </c>
      <c r="H108" s="711"/>
      <c r="I108" s="711"/>
      <c r="J108" s="711"/>
      <c r="K108" s="711"/>
      <c r="L108" s="711"/>
      <c r="M108" s="695">
        <f t="shared" si="11"/>
        <v>997182.95</v>
      </c>
      <c r="N108" s="729"/>
      <c r="O108" s="729"/>
      <c r="P108" s="729"/>
      <c r="Q108" s="729"/>
      <c r="R108" s="729"/>
      <c r="S108" s="729"/>
      <c r="T108" s="729"/>
      <c r="U108" s="729"/>
      <c r="V108" s="729"/>
      <c r="W108" s="729"/>
      <c r="X108" s="729"/>
      <c r="Y108" s="729"/>
      <c r="Z108" s="729"/>
      <c r="AA108" s="729"/>
      <c r="AB108" s="729"/>
      <c r="AC108" s="729"/>
      <c r="AD108" s="729"/>
      <c r="AE108" s="729"/>
      <c r="AF108" s="729"/>
      <c r="AG108" s="729"/>
      <c r="AH108" s="729"/>
      <c r="AI108" s="729"/>
      <c r="AJ108" s="729"/>
      <c r="AK108" s="729"/>
      <c r="AL108" s="729"/>
      <c r="AM108" s="729"/>
      <c r="AN108" s="729"/>
      <c r="AO108" s="729"/>
      <c r="AP108" s="729"/>
      <c r="AQ108" s="729"/>
      <c r="AR108" s="729"/>
      <c r="AS108" s="729"/>
      <c r="AT108" s="729"/>
      <c r="AU108" s="729"/>
      <c r="AV108" s="729"/>
      <c r="AW108" s="729"/>
      <c r="AX108" s="729"/>
      <c r="AY108" s="729"/>
      <c r="AZ108" s="729"/>
      <c r="BA108" s="729"/>
      <c r="BB108" s="729"/>
      <c r="BC108" s="729"/>
      <c r="BD108" s="729"/>
      <c r="BE108" s="729"/>
      <c r="BF108" s="729"/>
      <c r="BG108" s="729"/>
      <c r="BH108" s="729"/>
      <c r="BI108" s="729"/>
      <c r="BJ108" s="729"/>
      <c r="BK108" s="729"/>
      <c r="BL108" s="729"/>
      <c r="BM108" s="729"/>
      <c r="BN108" s="729"/>
      <c r="BO108" s="729"/>
      <c r="BP108" s="729"/>
      <c r="BQ108" s="729"/>
      <c r="BR108" s="729"/>
      <c r="BS108" s="729"/>
      <c r="BT108" s="729"/>
      <c r="BU108" s="729"/>
      <c r="BV108" s="729"/>
      <c r="BW108" s="732"/>
      <c r="BX108" s="732"/>
      <c r="BY108" s="732"/>
      <c r="BZ108" s="732"/>
      <c r="CA108" s="732"/>
      <c r="CB108" s="732"/>
      <c r="CC108" s="732"/>
      <c r="CD108" s="732"/>
      <c r="CE108" s="732"/>
      <c r="CF108" s="732"/>
      <c r="CG108" s="732"/>
      <c r="CH108" s="732"/>
      <c r="CI108" s="732"/>
      <c r="CJ108" s="732"/>
      <c r="CK108" s="732"/>
      <c r="CL108" s="732"/>
      <c r="CM108" s="732"/>
      <c r="CN108" s="732"/>
      <c r="CO108" s="732"/>
      <c r="CP108" s="732"/>
      <c r="CQ108" s="732"/>
      <c r="CR108" s="732"/>
      <c r="CS108" s="732"/>
      <c r="CT108" s="732"/>
      <c r="CU108" s="732"/>
      <c r="CV108" s="732"/>
      <c r="CW108" s="732"/>
      <c r="CX108" s="732"/>
      <c r="CY108" s="732"/>
      <c r="CZ108" s="732"/>
      <c r="DA108" s="732"/>
      <c r="DB108" s="732"/>
      <c r="DC108" s="732"/>
      <c r="DD108" s="732"/>
      <c r="DE108" s="732"/>
      <c r="DF108" s="732"/>
      <c r="DG108" s="732"/>
      <c r="DH108" s="732"/>
      <c r="DI108" s="732"/>
      <c r="DJ108" s="732"/>
      <c r="DK108" s="732"/>
      <c r="DL108" s="732"/>
      <c r="DM108" s="732"/>
      <c r="DN108" s="732"/>
      <c r="DO108" s="732"/>
      <c r="DP108" s="732"/>
      <c r="DQ108" s="732"/>
      <c r="DR108" s="732"/>
      <c r="DS108" s="732"/>
      <c r="DT108" s="732"/>
      <c r="DU108" s="732"/>
      <c r="DV108" s="732"/>
      <c r="DW108" s="732"/>
      <c r="DX108" s="732"/>
      <c r="DY108" s="732"/>
      <c r="DZ108" s="732"/>
      <c r="EA108" s="732"/>
      <c r="EB108" s="732"/>
      <c r="EC108" s="732"/>
      <c r="ED108" s="732"/>
      <c r="EE108" s="732"/>
      <c r="EF108" s="732"/>
      <c r="EG108" s="732"/>
      <c r="EH108" s="732"/>
      <c r="EI108" s="732"/>
      <c r="EJ108" s="732"/>
      <c r="EK108" s="732"/>
      <c r="EL108" s="732"/>
      <c r="EM108" s="732"/>
      <c r="EN108" s="732"/>
      <c r="EO108" s="732"/>
      <c r="EP108" s="732"/>
      <c r="EQ108" s="732"/>
      <c r="ER108" s="732"/>
      <c r="ES108" s="732"/>
      <c r="ET108" s="732"/>
      <c r="EU108" s="732"/>
      <c r="EV108" s="732"/>
      <c r="EW108" s="732"/>
      <c r="EX108" s="732"/>
      <c r="EY108" s="732"/>
      <c r="EZ108" s="732"/>
      <c r="FA108" s="732"/>
      <c r="FB108" s="732"/>
      <c r="FC108" s="732"/>
      <c r="FD108" s="732"/>
      <c r="FE108" s="732"/>
      <c r="FF108" s="732"/>
      <c r="FG108" s="732"/>
      <c r="FH108" s="732"/>
      <c r="FI108" s="732"/>
      <c r="FJ108" s="732"/>
      <c r="FK108" s="732"/>
      <c r="FL108" s="732"/>
      <c r="FM108" s="732"/>
      <c r="FN108" s="732"/>
      <c r="FO108" s="732"/>
      <c r="FP108" s="732"/>
      <c r="FQ108" s="732"/>
      <c r="FR108" s="732"/>
      <c r="FS108" s="732"/>
      <c r="FT108" s="732"/>
      <c r="FU108" s="732"/>
      <c r="FV108" s="732"/>
      <c r="FW108" s="732"/>
      <c r="FX108" s="732"/>
      <c r="FY108" s="732"/>
      <c r="FZ108" s="732"/>
      <c r="GA108" s="732"/>
      <c r="GB108" s="732"/>
      <c r="GC108" s="732"/>
      <c r="GD108" s="732"/>
      <c r="GE108" s="732"/>
      <c r="GF108" s="732"/>
      <c r="GG108" s="732"/>
      <c r="GH108" s="732"/>
      <c r="GI108" s="732"/>
      <c r="GJ108" s="732"/>
      <c r="GK108" s="732"/>
      <c r="GL108" s="732"/>
      <c r="GM108" s="732"/>
      <c r="GN108" s="732"/>
      <c r="GO108" s="732"/>
      <c r="GP108" s="732"/>
      <c r="GQ108" s="732"/>
      <c r="GR108" s="732"/>
      <c r="GS108" s="732"/>
      <c r="GT108" s="732"/>
      <c r="GU108" s="732"/>
      <c r="GV108" s="732"/>
      <c r="GW108" s="732"/>
      <c r="GX108" s="732"/>
      <c r="GY108" s="732"/>
      <c r="GZ108" s="732"/>
      <c r="HA108" s="732"/>
      <c r="HB108" s="732"/>
      <c r="HC108" s="732"/>
      <c r="HD108" s="732"/>
      <c r="HE108" s="732"/>
      <c r="HF108" s="732"/>
      <c r="HG108" s="732"/>
      <c r="HH108" s="732"/>
      <c r="HI108" s="732"/>
      <c r="HJ108" s="732"/>
      <c r="HK108" s="732"/>
      <c r="HL108" s="732"/>
      <c r="HM108" s="732"/>
      <c r="HN108" s="732"/>
      <c r="HO108" s="732"/>
      <c r="HP108" s="732"/>
      <c r="HQ108" s="732"/>
      <c r="HR108" s="732"/>
      <c r="HS108" s="732"/>
      <c r="HT108" s="732"/>
      <c r="HU108" s="732"/>
      <c r="HV108" s="732"/>
      <c r="HW108" s="732"/>
      <c r="HX108" s="732"/>
      <c r="HY108" s="732"/>
      <c r="HZ108" s="732"/>
      <c r="IA108" s="732"/>
      <c r="IB108" s="732"/>
      <c r="IC108" s="732"/>
      <c r="ID108" s="732"/>
      <c r="IE108" s="732"/>
      <c r="IF108" s="732"/>
      <c r="IG108" s="732"/>
      <c r="IH108" s="732"/>
      <c r="II108" s="732"/>
      <c r="IJ108" s="732"/>
      <c r="IK108" s="732"/>
      <c r="IL108" s="732"/>
      <c r="IM108" s="732"/>
      <c r="IN108" s="732"/>
      <c r="IO108" s="732"/>
      <c r="IP108" s="732"/>
      <c r="IQ108" s="732"/>
      <c r="IR108" s="732"/>
      <c r="IS108" s="732"/>
    </row>
    <row r="109" s="563" customFormat="1" ht="15" spans="1:253">
      <c r="A109" s="719" t="s">
        <v>157</v>
      </c>
      <c r="B109" s="657" t="s">
        <v>186</v>
      </c>
      <c r="C109" s="698" t="s">
        <v>187</v>
      </c>
      <c r="D109" s="716" t="s">
        <v>69</v>
      </c>
      <c r="E109" s="720">
        <f>'PB VI - Memorial'!F115</f>
        <v>49.73</v>
      </c>
      <c r="F109" s="694">
        <v>5.67</v>
      </c>
      <c r="G109" s="694">
        <f t="shared" ref="G109" si="13">ROUND(E109*F109,2)</f>
        <v>281.97</v>
      </c>
      <c r="H109" s="711"/>
      <c r="I109" s="711"/>
      <c r="J109" s="711"/>
      <c r="K109" s="711"/>
      <c r="L109" s="711"/>
      <c r="M109" s="695"/>
      <c r="N109" s="729"/>
      <c r="O109" s="729"/>
      <c r="P109" s="729"/>
      <c r="Q109" s="729"/>
      <c r="R109" s="729"/>
      <c r="S109" s="729"/>
      <c r="T109" s="729"/>
      <c r="U109" s="729"/>
      <c r="V109" s="729"/>
      <c r="W109" s="729"/>
      <c r="X109" s="729"/>
      <c r="Y109" s="729"/>
      <c r="Z109" s="729"/>
      <c r="AA109" s="729"/>
      <c r="AB109" s="729"/>
      <c r="AC109" s="729"/>
      <c r="AD109" s="729"/>
      <c r="AE109" s="729"/>
      <c r="AF109" s="729"/>
      <c r="AG109" s="729"/>
      <c r="AH109" s="729"/>
      <c r="AI109" s="729"/>
      <c r="AJ109" s="729"/>
      <c r="AK109" s="729"/>
      <c r="AL109" s="729"/>
      <c r="AM109" s="729"/>
      <c r="AN109" s="729"/>
      <c r="AO109" s="729"/>
      <c r="AP109" s="729"/>
      <c r="AQ109" s="729"/>
      <c r="AR109" s="729"/>
      <c r="AS109" s="729"/>
      <c r="AT109" s="729"/>
      <c r="AU109" s="729"/>
      <c r="AV109" s="729"/>
      <c r="AW109" s="729"/>
      <c r="AX109" s="729"/>
      <c r="AY109" s="729"/>
      <c r="AZ109" s="729"/>
      <c r="BA109" s="729"/>
      <c r="BB109" s="729"/>
      <c r="BC109" s="729"/>
      <c r="BD109" s="729"/>
      <c r="BE109" s="729"/>
      <c r="BF109" s="729"/>
      <c r="BG109" s="729"/>
      <c r="BH109" s="729"/>
      <c r="BI109" s="729"/>
      <c r="BJ109" s="729"/>
      <c r="BK109" s="729"/>
      <c r="BL109" s="729"/>
      <c r="BM109" s="729"/>
      <c r="BN109" s="729"/>
      <c r="BO109" s="729"/>
      <c r="BP109" s="729"/>
      <c r="BQ109" s="729"/>
      <c r="BR109" s="729"/>
      <c r="BS109" s="729"/>
      <c r="BT109" s="729"/>
      <c r="BU109" s="729"/>
      <c r="BV109" s="729"/>
      <c r="BW109" s="732"/>
      <c r="BX109" s="732"/>
      <c r="BY109" s="732"/>
      <c r="BZ109" s="732"/>
      <c r="CA109" s="732"/>
      <c r="CB109" s="732"/>
      <c r="CC109" s="732"/>
      <c r="CD109" s="732"/>
      <c r="CE109" s="732"/>
      <c r="CF109" s="732"/>
      <c r="CG109" s="732"/>
      <c r="CH109" s="732"/>
      <c r="CI109" s="732"/>
      <c r="CJ109" s="732"/>
      <c r="CK109" s="732"/>
      <c r="CL109" s="732"/>
      <c r="CM109" s="732"/>
      <c r="CN109" s="732"/>
      <c r="CO109" s="732"/>
      <c r="CP109" s="732"/>
      <c r="CQ109" s="732"/>
      <c r="CR109" s="732"/>
      <c r="CS109" s="732"/>
      <c r="CT109" s="732"/>
      <c r="CU109" s="732"/>
      <c r="CV109" s="732"/>
      <c r="CW109" s="732"/>
      <c r="CX109" s="732"/>
      <c r="CY109" s="732"/>
      <c r="CZ109" s="732"/>
      <c r="DA109" s="732"/>
      <c r="DB109" s="732"/>
      <c r="DC109" s="732"/>
      <c r="DD109" s="732"/>
      <c r="DE109" s="732"/>
      <c r="DF109" s="732"/>
      <c r="DG109" s="732"/>
      <c r="DH109" s="732"/>
      <c r="DI109" s="732"/>
      <c r="DJ109" s="732"/>
      <c r="DK109" s="732"/>
      <c r="DL109" s="732"/>
      <c r="DM109" s="732"/>
      <c r="DN109" s="732"/>
      <c r="DO109" s="732"/>
      <c r="DP109" s="732"/>
      <c r="DQ109" s="732"/>
      <c r="DR109" s="732"/>
      <c r="DS109" s="732"/>
      <c r="DT109" s="732"/>
      <c r="DU109" s="732"/>
      <c r="DV109" s="732"/>
      <c r="DW109" s="732"/>
      <c r="DX109" s="732"/>
      <c r="DY109" s="732"/>
      <c r="DZ109" s="732"/>
      <c r="EA109" s="732"/>
      <c r="EB109" s="732"/>
      <c r="EC109" s="732"/>
      <c r="ED109" s="732"/>
      <c r="EE109" s="732"/>
      <c r="EF109" s="732"/>
      <c r="EG109" s="732"/>
      <c r="EH109" s="732"/>
      <c r="EI109" s="732"/>
      <c r="EJ109" s="732"/>
      <c r="EK109" s="732"/>
      <c r="EL109" s="732"/>
      <c r="EM109" s="732"/>
      <c r="EN109" s="732"/>
      <c r="EO109" s="732"/>
      <c r="EP109" s="732"/>
      <c r="EQ109" s="732"/>
      <c r="ER109" s="732"/>
      <c r="ES109" s="732"/>
      <c r="ET109" s="732"/>
      <c r="EU109" s="732"/>
      <c r="EV109" s="732"/>
      <c r="EW109" s="732"/>
      <c r="EX109" s="732"/>
      <c r="EY109" s="732"/>
      <c r="EZ109" s="732"/>
      <c r="FA109" s="732"/>
      <c r="FB109" s="732"/>
      <c r="FC109" s="732"/>
      <c r="FD109" s="732"/>
      <c r="FE109" s="732"/>
      <c r="FF109" s="732"/>
      <c r="FG109" s="732"/>
      <c r="FH109" s="732"/>
      <c r="FI109" s="732"/>
      <c r="FJ109" s="732"/>
      <c r="FK109" s="732"/>
      <c r="FL109" s="732"/>
      <c r="FM109" s="732"/>
      <c r="FN109" s="732"/>
      <c r="FO109" s="732"/>
      <c r="FP109" s="732"/>
      <c r="FQ109" s="732"/>
      <c r="FR109" s="732"/>
      <c r="FS109" s="732"/>
      <c r="FT109" s="732"/>
      <c r="FU109" s="732"/>
      <c r="FV109" s="732"/>
      <c r="FW109" s="732"/>
      <c r="FX109" s="732"/>
      <c r="FY109" s="732"/>
      <c r="FZ109" s="732"/>
      <c r="GA109" s="732"/>
      <c r="GB109" s="732"/>
      <c r="GC109" s="732"/>
      <c r="GD109" s="732"/>
      <c r="GE109" s="732"/>
      <c r="GF109" s="732"/>
      <c r="GG109" s="732"/>
      <c r="GH109" s="732"/>
      <c r="GI109" s="732"/>
      <c r="GJ109" s="732"/>
      <c r="GK109" s="732"/>
      <c r="GL109" s="732"/>
      <c r="GM109" s="732"/>
      <c r="GN109" s="732"/>
      <c r="GO109" s="732"/>
      <c r="GP109" s="732"/>
      <c r="GQ109" s="732"/>
      <c r="GR109" s="732"/>
      <c r="GS109" s="732"/>
      <c r="GT109" s="732"/>
      <c r="GU109" s="732"/>
      <c r="GV109" s="732"/>
      <c r="GW109" s="732"/>
      <c r="GX109" s="732"/>
      <c r="GY109" s="732"/>
      <c r="GZ109" s="732"/>
      <c r="HA109" s="732"/>
      <c r="HB109" s="732"/>
      <c r="HC109" s="732"/>
      <c r="HD109" s="732"/>
      <c r="HE109" s="732"/>
      <c r="HF109" s="732"/>
      <c r="HG109" s="732"/>
      <c r="HH109" s="732"/>
      <c r="HI109" s="732"/>
      <c r="HJ109" s="732"/>
      <c r="HK109" s="732"/>
      <c r="HL109" s="732"/>
      <c r="HM109" s="732"/>
      <c r="HN109" s="732"/>
      <c r="HO109" s="732"/>
      <c r="HP109" s="732"/>
      <c r="HQ109" s="732"/>
      <c r="HR109" s="732"/>
      <c r="HS109" s="732"/>
      <c r="HT109" s="732"/>
      <c r="HU109" s="732"/>
      <c r="HV109" s="732"/>
      <c r="HW109" s="732"/>
      <c r="HX109" s="732"/>
      <c r="HY109" s="732"/>
      <c r="HZ109" s="732"/>
      <c r="IA109" s="732"/>
      <c r="IB109" s="732"/>
      <c r="IC109" s="732"/>
      <c r="ID109" s="732"/>
      <c r="IE109" s="732"/>
      <c r="IF109" s="732"/>
      <c r="IG109" s="732"/>
      <c r="IH109" s="732"/>
      <c r="II109" s="732"/>
      <c r="IJ109" s="732"/>
      <c r="IK109" s="732"/>
      <c r="IL109" s="732"/>
      <c r="IM109" s="732"/>
      <c r="IN109" s="732"/>
      <c r="IO109" s="732"/>
      <c r="IP109" s="732"/>
      <c r="IQ109" s="732"/>
      <c r="IR109" s="732"/>
      <c r="IS109" s="732"/>
    </row>
    <row r="110" s="563" customFormat="1" ht="15" spans="1:253">
      <c r="A110" s="719" t="s">
        <v>160</v>
      </c>
      <c r="B110" s="657" t="s">
        <v>188</v>
      </c>
      <c r="C110" s="698" t="s">
        <v>162</v>
      </c>
      <c r="D110" s="716" t="s">
        <v>69</v>
      </c>
      <c r="E110" s="720">
        <f>'PB VI - Memorial'!G115</f>
        <v>141.91</v>
      </c>
      <c r="F110" s="694">
        <v>13.31</v>
      </c>
      <c r="G110" s="694">
        <f t="shared" si="5"/>
        <v>1888.82</v>
      </c>
      <c r="H110" s="711"/>
      <c r="I110" s="711"/>
      <c r="J110" s="711"/>
      <c r="K110" s="711"/>
      <c r="L110" s="711"/>
      <c r="M110" s="695">
        <f>$F$432</f>
        <v>997182.95</v>
      </c>
      <c r="N110" s="729"/>
      <c r="O110" s="729"/>
      <c r="P110" s="729"/>
      <c r="Q110" s="729"/>
      <c r="R110" s="729"/>
      <c r="S110" s="729"/>
      <c r="T110" s="729"/>
      <c r="U110" s="729"/>
      <c r="V110" s="729"/>
      <c r="W110" s="729"/>
      <c r="X110" s="729"/>
      <c r="Y110" s="729"/>
      <c r="Z110" s="729"/>
      <c r="AA110" s="729"/>
      <c r="AB110" s="729"/>
      <c r="AC110" s="729"/>
      <c r="AD110" s="729"/>
      <c r="AE110" s="729"/>
      <c r="AF110" s="729"/>
      <c r="AG110" s="729"/>
      <c r="AH110" s="729"/>
      <c r="AI110" s="729"/>
      <c r="AJ110" s="729"/>
      <c r="AK110" s="729"/>
      <c r="AL110" s="729"/>
      <c r="AM110" s="729"/>
      <c r="AN110" s="729"/>
      <c r="AO110" s="729"/>
      <c r="AP110" s="729"/>
      <c r="AQ110" s="729"/>
      <c r="AR110" s="729"/>
      <c r="AS110" s="729"/>
      <c r="AT110" s="729"/>
      <c r="AU110" s="729"/>
      <c r="AV110" s="729"/>
      <c r="AW110" s="729"/>
      <c r="AX110" s="729"/>
      <c r="AY110" s="729"/>
      <c r="AZ110" s="729"/>
      <c r="BA110" s="729"/>
      <c r="BB110" s="729"/>
      <c r="BC110" s="729"/>
      <c r="BD110" s="729"/>
      <c r="BE110" s="729"/>
      <c r="BF110" s="729"/>
      <c r="BG110" s="729"/>
      <c r="BH110" s="729"/>
      <c r="BI110" s="729"/>
      <c r="BJ110" s="729"/>
      <c r="BK110" s="729"/>
      <c r="BL110" s="729"/>
      <c r="BM110" s="729"/>
      <c r="BN110" s="729"/>
      <c r="BO110" s="729"/>
      <c r="BP110" s="729"/>
      <c r="BQ110" s="729"/>
      <c r="BR110" s="729"/>
      <c r="BS110" s="729"/>
      <c r="BT110" s="729"/>
      <c r="BU110" s="729"/>
      <c r="BV110" s="729"/>
      <c r="BW110" s="732"/>
      <c r="BX110" s="732"/>
      <c r="BY110" s="732"/>
      <c r="BZ110" s="732"/>
      <c r="CA110" s="732"/>
      <c r="CB110" s="732"/>
      <c r="CC110" s="732"/>
      <c r="CD110" s="732"/>
      <c r="CE110" s="732"/>
      <c r="CF110" s="732"/>
      <c r="CG110" s="732"/>
      <c r="CH110" s="732"/>
      <c r="CI110" s="732"/>
      <c r="CJ110" s="732"/>
      <c r="CK110" s="732"/>
      <c r="CL110" s="732"/>
      <c r="CM110" s="732"/>
      <c r="CN110" s="732"/>
      <c r="CO110" s="732"/>
      <c r="CP110" s="732"/>
      <c r="CQ110" s="732"/>
      <c r="CR110" s="732"/>
      <c r="CS110" s="732"/>
      <c r="CT110" s="732"/>
      <c r="CU110" s="732"/>
      <c r="CV110" s="732"/>
      <c r="CW110" s="732"/>
      <c r="CX110" s="732"/>
      <c r="CY110" s="732"/>
      <c r="CZ110" s="732"/>
      <c r="DA110" s="732"/>
      <c r="DB110" s="732"/>
      <c r="DC110" s="732"/>
      <c r="DD110" s="732"/>
      <c r="DE110" s="732"/>
      <c r="DF110" s="732"/>
      <c r="DG110" s="732"/>
      <c r="DH110" s="732"/>
      <c r="DI110" s="732"/>
      <c r="DJ110" s="732"/>
      <c r="DK110" s="732"/>
      <c r="DL110" s="732"/>
      <c r="DM110" s="732"/>
      <c r="DN110" s="732"/>
      <c r="DO110" s="732"/>
      <c r="DP110" s="732"/>
      <c r="DQ110" s="732"/>
      <c r="DR110" s="732"/>
      <c r="DS110" s="732"/>
      <c r="DT110" s="732"/>
      <c r="DU110" s="732"/>
      <c r="DV110" s="732"/>
      <c r="DW110" s="732"/>
      <c r="DX110" s="732"/>
      <c r="DY110" s="732"/>
      <c r="DZ110" s="732"/>
      <c r="EA110" s="732"/>
      <c r="EB110" s="732"/>
      <c r="EC110" s="732"/>
      <c r="ED110" s="732"/>
      <c r="EE110" s="732"/>
      <c r="EF110" s="732"/>
      <c r="EG110" s="732"/>
      <c r="EH110" s="732"/>
      <c r="EI110" s="732"/>
      <c r="EJ110" s="732"/>
      <c r="EK110" s="732"/>
      <c r="EL110" s="732"/>
      <c r="EM110" s="732"/>
      <c r="EN110" s="732"/>
      <c r="EO110" s="732"/>
      <c r="EP110" s="732"/>
      <c r="EQ110" s="732"/>
      <c r="ER110" s="732"/>
      <c r="ES110" s="732"/>
      <c r="ET110" s="732"/>
      <c r="EU110" s="732"/>
      <c r="EV110" s="732"/>
      <c r="EW110" s="732"/>
      <c r="EX110" s="732"/>
      <c r="EY110" s="732"/>
      <c r="EZ110" s="732"/>
      <c r="FA110" s="732"/>
      <c r="FB110" s="732"/>
      <c r="FC110" s="732"/>
      <c r="FD110" s="732"/>
      <c r="FE110" s="732"/>
      <c r="FF110" s="732"/>
      <c r="FG110" s="732"/>
      <c r="FH110" s="732"/>
      <c r="FI110" s="732"/>
      <c r="FJ110" s="732"/>
      <c r="FK110" s="732"/>
      <c r="FL110" s="732"/>
      <c r="FM110" s="732"/>
      <c r="FN110" s="732"/>
      <c r="FO110" s="732"/>
      <c r="FP110" s="732"/>
      <c r="FQ110" s="732"/>
      <c r="FR110" s="732"/>
      <c r="FS110" s="732"/>
      <c r="FT110" s="732"/>
      <c r="FU110" s="732"/>
      <c r="FV110" s="732"/>
      <c r="FW110" s="732"/>
      <c r="FX110" s="732"/>
      <c r="FY110" s="732"/>
      <c r="FZ110" s="732"/>
      <c r="GA110" s="732"/>
      <c r="GB110" s="732"/>
      <c r="GC110" s="732"/>
      <c r="GD110" s="732"/>
      <c r="GE110" s="732"/>
      <c r="GF110" s="732"/>
      <c r="GG110" s="732"/>
      <c r="GH110" s="732"/>
      <c r="GI110" s="732"/>
      <c r="GJ110" s="732"/>
      <c r="GK110" s="732"/>
      <c r="GL110" s="732"/>
      <c r="GM110" s="732"/>
      <c r="GN110" s="732"/>
      <c r="GO110" s="732"/>
      <c r="GP110" s="732"/>
      <c r="GQ110" s="732"/>
      <c r="GR110" s="732"/>
      <c r="GS110" s="732"/>
      <c r="GT110" s="732"/>
      <c r="GU110" s="732"/>
      <c r="GV110" s="732"/>
      <c r="GW110" s="732"/>
      <c r="GX110" s="732"/>
      <c r="GY110" s="732"/>
      <c r="GZ110" s="732"/>
      <c r="HA110" s="732"/>
      <c r="HB110" s="732"/>
      <c r="HC110" s="732"/>
      <c r="HD110" s="732"/>
      <c r="HE110" s="732"/>
      <c r="HF110" s="732"/>
      <c r="HG110" s="732"/>
      <c r="HH110" s="732"/>
      <c r="HI110" s="732"/>
      <c r="HJ110" s="732"/>
      <c r="HK110" s="732"/>
      <c r="HL110" s="732"/>
      <c r="HM110" s="732"/>
      <c r="HN110" s="732"/>
      <c r="HO110" s="732"/>
      <c r="HP110" s="732"/>
      <c r="HQ110" s="732"/>
      <c r="HR110" s="732"/>
      <c r="HS110" s="732"/>
      <c r="HT110" s="732"/>
      <c r="HU110" s="732"/>
      <c r="HV110" s="732"/>
      <c r="HW110" s="732"/>
      <c r="HX110" s="732"/>
      <c r="HY110" s="732"/>
      <c r="HZ110" s="732"/>
      <c r="IA110" s="732"/>
      <c r="IB110" s="732"/>
      <c r="IC110" s="732"/>
      <c r="ID110" s="732"/>
      <c r="IE110" s="732"/>
      <c r="IF110" s="732"/>
      <c r="IG110" s="732"/>
      <c r="IH110" s="732"/>
      <c r="II110" s="732"/>
      <c r="IJ110" s="732"/>
      <c r="IK110" s="732"/>
      <c r="IL110" s="732"/>
      <c r="IM110" s="732"/>
      <c r="IN110" s="732"/>
      <c r="IO110" s="732"/>
      <c r="IP110" s="732"/>
      <c r="IQ110" s="732"/>
      <c r="IR110" s="732"/>
      <c r="IS110" s="732"/>
    </row>
    <row r="111" s="563" customFormat="1" ht="15" spans="1:253">
      <c r="A111" s="719"/>
      <c r="B111" s="657"/>
      <c r="C111" s="698"/>
      <c r="D111" s="716"/>
      <c r="E111" s="720"/>
      <c r="F111" s="694"/>
      <c r="G111" s="694"/>
      <c r="H111" s="711"/>
      <c r="I111" s="711"/>
      <c r="J111" s="711"/>
      <c r="K111" s="711"/>
      <c r="L111" s="711"/>
      <c r="M111" s="695"/>
      <c r="N111" s="729"/>
      <c r="O111" s="729"/>
      <c r="P111" s="729"/>
      <c r="Q111" s="729"/>
      <c r="R111" s="729"/>
      <c r="S111" s="729"/>
      <c r="T111" s="729"/>
      <c r="U111" s="729"/>
      <c r="V111" s="729"/>
      <c r="W111" s="729"/>
      <c r="X111" s="729"/>
      <c r="Y111" s="729"/>
      <c r="Z111" s="729"/>
      <c r="AA111" s="729"/>
      <c r="AB111" s="729"/>
      <c r="AC111" s="729"/>
      <c r="AD111" s="729"/>
      <c r="AE111" s="729"/>
      <c r="AF111" s="729"/>
      <c r="AG111" s="729"/>
      <c r="AH111" s="729"/>
      <c r="AI111" s="729"/>
      <c r="AJ111" s="729"/>
      <c r="AK111" s="729"/>
      <c r="AL111" s="729"/>
      <c r="AM111" s="729"/>
      <c r="AN111" s="729"/>
      <c r="AO111" s="729"/>
      <c r="AP111" s="729"/>
      <c r="AQ111" s="729"/>
      <c r="AR111" s="729"/>
      <c r="AS111" s="729"/>
      <c r="AT111" s="729"/>
      <c r="AU111" s="729"/>
      <c r="AV111" s="729"/>
      <c r="AW111" s="729"/>
      <c r="AX111" s="729"/>
      <c r="AY111" s="729"/>
      <c r="AZ111" s="729"/>
      <c r="BA111" s="729"/>
      <c r="BB111" s="729"/>
      <c r="BC111" s="729"/>
      <c r="BD111" s="729"/>
      <c r="BE111" s="729"/>
      <c r="BF111" s="729"/>
      <c r="BG111" s="729"/>
      <c r="BH111" s="729"/>
      <c r="BI111" s="729"/>
      <c r="BJ111" s="729"/>
      <c r="BK111" s="729"/>
      <c r="BL111" s="729"/>
      <c r="BM111" s="729"/>
      <c r="BN111" s="729"/>
      <c r="BO111" s="729"/>
      <c r="BP111" s="729"/>
      <c r="BQ111" s="729"/>
      <c r="BR111" s="729"/>
      <c r="BS111" s="729"/>
      <c r="BT111" s="729"/>
      <c r="BU111" s="729"/>
      <c r="BV111" s="729"/>
      <c r="BW111" s="732"/>
      <c r="BX111" s="732"/>
      <c r="BY111" s="732"/>
      <c r="BZ111" s="732"/>
      <c r="CA111" s="732"/>
      <c r="CB111" s="732"/>
      <c r="CC111" s="732"/>
      <c r="CD111" s="732"/>
      <c r="CE111" s="732"/>
      <c r="CF111" s="732"/>
      <c r="CG111" s="732"/>
      <c r="CH111" s="732"/>
      <c r="CI111" s="732"/>
      <c r="CJ111" s="732"/>
      <c r="CK111" s="732"/>
      <c r="CL111" s="732"/>
      <c r="CM111" s="732"/>
      <c r="CN111" s="732"/>
      <c r="CO111" s="732"/>
      <c r="CP111" s="732"/>
      <c r="CQ111" s="732"/>
      <c r="CR111" s="732"/>
      <c r="CS111" s="732"/>
      <c r="CT111" s="732"/>
      <c r="CU111" s="732"/>
      <c r="CV111" s="732"/>
      <c r="CW111" s="732"/>
      <c r="CX111" s="732"/>
      <c r="CY111" s="732"/>
      <c r="CZ111" s="732"/>
      <c r="DA111" s="732"/>
      <c r="DB111" s="732"/>
      <c r="DC111" s="732"/>
      <c r="DD111" s="732"/>
      <c r="DE111" s="732"/>
      <c r="DF111" s="732"/>
      <c r="DG111" s="732"/>
      <c r="DH111" s="732"/>
      <c r="DI111" s="732"/>
      <c r="DJ111" s="732"/>
      <c r="DK111" s="732"/>
      <c r="DL111" s="732"/>
      <c r="DM111" s="732"/>
      <c r="DN111" s="732"/>
      <c r="DO111" s="732"/>
      <c r="DP111" s="732"/>
      <c r="DQ111" s="732"/>
      <c r="DR111" s="732"/>
      <c r="DS111" s="732"/>
      <c r="DT111" s="732"/>
      <c r="DU111" s="732"/>
      <c r="DV111" s="732"/>
      <c r="DW111" s="732"/>
      <c r="DX111" s="732"/>
      <c r="DY111" s="732"/>
      <c r="DZ111" s="732"/>
      <c r="EA111" s="732"/>
      <c r="EB111" s="732"/>
      <c r="EC111" s="732"/>
      <c r="ED111" s="732"/>
      <c r="EE111" s="732"/>
      <c r="EF111" s="732"/>
      <c r="EG111" s="732"/>
      <c r="EH111" s="732"/>
      <c r="EI111" s="732"/>
      <c r="EJ111" s="732"/>
      <c r="EK111" s="732"/>
      <c r="EL111" s="732"/>
      <c r="EM111" s="732"/>
      <c r="EN111" s="732"/>
      <c r="EO111" s="732"/>
      <c r="EP111" s="732"/>
      <c r="EQ111" s="732"/>
      <c r="ER111" s="732"/>
      <c r="ES111" s="732"/>
      <c r="ET111" s="732"/>
      <c r="EU111" s="732"/>
      <c r="EV111" s="732"/>
      <c r="EW111" s="732"/>
      <c r="EX111" s="732"/>
      <c r="EY111" s="732"/>
      <c r="EZ111" s="732"/>
      <c r="FA111" s="732"/>
      <c r="FB111" s="732"/>
      <c r="FC111" s="732"/>
      <c r="FD111" s="732"/>
      <c r="FE111" s="732"/>
      <c r="FF111" s="732"/>
      <c r="FG111" s="732"/>
      <c r="FH111" s="732"/>
      <c r="FI111" s="732"/>
      <c r="FJ111" s="732"/>
      <c r="FK111" s="732"/>
      <c r="FL111" s="732"/>
      <c r="FM111" s="732"/>
      <c r="FN111" s="732"/>
      <c r="FO111" s="732"/>
      <c r="FP111" s="732"/>
      <c r="FQ111" s="732"/>
      <c r="FR111" s="732"/>
      <c r="FS111" s="732"/>
      <c r="FT111" s="732"/>
      <c r="FU111" s="732"/>
      <c r="FV111" s="732"/>
      <c r="FW111" s="732"/>
      <c r="FX111" s="732"/>
      <c r="FY111" s="732"/>
      <c r="FZ111" s="732"/>
      <c r="GA111" s="732"/>
      <c r="GB111" s="732"/>
      <c r="GC111" s="732"/>
      <c r="GD111" s="732"/>
      <c r="GE111" s="732"/>
      <c r="GF111" s="732"/>
      <c r="GG111" s="732"/>
      <c r="GH111" s="732"/>
      <c r="GI111" s="732"/>
      <c r="GJ111" s="732"/>
      <c r="GK111" s="732"/>
      <c r="GL111" s="732"/>
      <c r="GM111" s="732"/>
      <c r="GN111" s="732"/>
      <c r="GO111" s="732"/>
      <c r="GP111" s="732"/>
      <c r="GQ111" s="732"/>
      <c r="GR111" s="732"/>
      <c r="GS111" s="732"/>
      <c r="GT111" s="732"/>
      <c r="GU111" s="732"/>
      <c r="GV111" s="732"/>
      <c r="GW111" s="732"/>
      <c r="GX111" s="732"/>
      <c r="GY111" s="732"/>
      <c r="GZ111" s="732"/>
      <c r="HA111" s="732"/>
      <c r="HB111" s="732"/>
      <c r="HC111" s="732"/>
      <c r="HD111" s="732"/>
      <c r="HE111" s="732"/>
      <c r="HF111" s="732"/>
      <c r="HG111" s="732"/>
      <c r="HH111" s="732"/>
      <c r="HI111" s="732"/>
      <c r="HJ111" s="732"/>
      <c r="HK111" s="732"/>
      <c r="HL111" s="732"/>
      <c r="HM111" s="732"/>
      <c r="HN111" s="732"/>
      <c r="HO111" s="732"/>
      <c r="HP111" s="732"/>
      <c r="HQ111" s="732"/>
      <c r="HR111" s="732"/>
      <c r="HS111" s="732"/>
      <c r="HT111" s="732"/>
      <c r="HU111" s="732"/>
      <c r="HV111" s="732"/>
      <c r="HW111" s="732"/>
      <c r="HX111" s="732"/>
      <c r="HY111" s="732"/>
      <c r="HZ111" s="732"/>
      <c r="IA111" s="732"/>
      <c r="IB111" s="732"/>
      <c r="IC111" s="732"/>
      <c r="ID111" s="732"/>
      <c r="IE111" s="732"/>
      <c r="IF111" s="732"/>
      <c r="IG111" s="732"/>
      <c r="IH111" s="732"/>
      <c r="II111" s="732"/>
      <c r="IJ111" s="732"/>
      <c r="IK111" s="732"/>
      <c r="IL111" s="732"/>
      <c r="IM111" s="732"/>
      <c r="IN111" s="732"/>
      <c r="IO111" s="732"/>
      <c r="IP111" s="732"/>
      <c r="IQ111" s="732"/>
      <c r="IR111" s="732"/>
      <c r="IS111" s="732"/>
    </row>
    <row r="112" s="563" customFormat="1" ht="15" spans="1:253">
      <c r="A112" s="721"/>
      <c r="B112" s="722" t="s">
        <v>98</v>
      </c>
      <c r="C112" s="723" t="s">
        <v>189</v>
      </c>
      <c r="D112" s="716"/>
      <c r="E112" s="720"/>
      <c r="F112" s="694"/>
      <c r="G112" s="694"/>
      <c r="H112" s="711"/>
      <c r="I112" s="711"/>
      <c r="J112" s="711"/>
      <c r="K112" s="711"/>
      <c r="L112" s="711"/>
      <c r="M112" s="695">
        <f t="shared" ref="M112:M120" si="14">$F$432</f>
        <v>997182.95</v>
      </c>
      <c r="N112" s="729"/>
      <c r="O112" s="729"/>
      <c r="P112" s="729"/>
      <c r="Q112" s="729"/>
      <c r="R112" s="729"/>
      <c r="S112" s="729"/>
      <c r="T112" s="729"/>
      <c r="U112" s="729"/>
      <c r="V112" s="729"/>
      <c r="W112" s="729"/>
      <c r="X112" s="729"/>
      <c r="Y112" s="729"/>
      <c r="Z112" s="729"/>
      <c r="AA112" s="729"/>
      <c r="AB112" s="729"/>
      <c r="AC112" s="729"/>
      <c r="AD112" s="729"/>
      <c r="AE112" s="729"/>
      <c r="AF112" s="729"/>
      <c r="AG112" s="729"/>
      <c r="AH112" s="729"/>
      <c r="AI112" s="729"/>
      <c r="AJ112" s="729"/>
      <c r="AK112" s="729"/>
      <c r="AL112" s="729"/>
      <c r="AM112" s="729"/>
      <c r="AN112" s="729"/>
      <c r="AO112" s="729"/>
      <c r="AP112" s="729"/>
      <c r="AQ112" s="729"/>
      <c r="AR112" s="729"/>
      <c r="AS112" s="729"/>
      <c r="AT112" s="729"/>
      <c r="AU112" s="729"/>
      <c r="AV112" s="729"/>
      <c r="AW112" s="729"/>
      <c r="AX112" s="729"/>
      <c r="AY112" s="729"/>
      <c r="AZ112" s="729"/>
      <c r="BA112" s="729"/>
      <c r="BB112" s="729"/>
      <c r="BC112" s="729"/>
      <c r="BD112" s="729"/>
      <c r="BE112" s="729"/>
      <c r="BF112" s="729"/>
      <c r="BG112" s="729"/>
      <c r="BH112" s="729"/>
      <c r="BI112" s="729"/>
      <c r="BJ112" s="729"/>
      <c r="BK112" s="729"/>
      <c r="BL112" s="729"/>
      <c r="BM112" s="729"/>
      <c r="BN112" s="729"/>
      <c r="BO112" s="729"/>
      <c r="BP112" s="729"/>
      <c r="BQ112" s="729"/>
      <c r="BR112" s="729"/>
      <c r="BS112" s="729"/>
      <c r="BT112" s="729"/>
      <c r="BU112" s="729"/>
      <c r="BV112" s="729"/>
      <c r="BW112" s="732"/>
      <c r="BX112" s="732"/>
      <c r="BY112" s="732"/>
      <c r="BZ112" s="732"/>
      <c r="CA112" s="732"/>
      <c r="CB112" s="732"/>
      <c r="CC112" s="732"/>
      <c r="CD112" s="732"/>
      <c r="CE112" s="732"/>
      <c r="CF112" s="732"/>
      <c r="CG112" s="732"/>
      <c r="CH112" s="732"/>
      <c r="CI112" s="732"/>
      <c r="CJ112" s="732"/>
      <c r="CK112" s="732"/>
      <c r="CL112" s="732"/>
      <c r="CM112" s="732"/>
      <c r="CN112" s="732"/>
      <c r="CO112" s="732"/>
      <c r="CP112" s="732"/>
      <c r="CQ112" s="732"/>
      <c r="CR112" s="732"/>
      <c r="CS112" s="732"/>
      <c r="CT112" s="732"/>
      <c r="CU112" s="732"/>
      <c r="CV112" s="732"/>
      <c r="CW112" s="732"/>
      <c r="CX112" s="732"/>
      <c r="CY112" s="732"/>
      <c r="CZ112" s="732"/>
      <c r="DA112" s="732"/>
      <c r="DB112" s="732"/>
      <c r="DC112" s="732"/>
      <c r="DD112" s="732"/>
      <c r="DE112" s="732"/>
      <c r="DF112" s="732"/>
      <c r="DG112" s="732"/>
      <c r="DH112" s="732"/>
      <c r="DI112" s="732"/>
      <c r="DJ112" s="732"/>
      <c r="DK112" s="732"/>
      <c r="DL112" s="732"/>
      <c r="DM112" s="732"/>
      <c r="DN112" s="732"/>
      <c r="DO112" s="732"/>
      <c r="DP112" s="732"/>
      <c r="DQ112" s="732"/>
      <c r="DR112" s="732"/>
      <c r="DS112" s="732"/>
      <c r="DT112" s="732"/>
      <c r="DU112" s="732"/>
      <c r="DV112" s="732"/>
      <c r="DW112" s="732"/>
      <c r="DX112" s="732"/>
      <c r="DY112" s="732"/>
      <c r="DZ112" s="732"/>
      <c r="EA112" s="732"/>
      <c r="EB112" s="732"/>
      <c r="EC112" s="732"/>
      <c r="ED112" s="732"/>
      <c r="EE112" s="732"/>
      <c r="EF112" s="732"/>
      <c r="EG112" s="732"/>
      <c r="EH112" s="732"/>
      <c r="EI112" s="732"/>
      <c r="EJ112" s="732"/>
      <c r="EK112" s="732"/>
      <c r="EL112" s="732"/>
      <c r="EM112" s="732"/>
      <c r="EN112" s="732"/>
      <c r="EO112" s="732"/>
      <c r="EP112" s="732"/>
      <c r="EQ112" s="732"/>
      <c r="ER112" s="732"/>
      <c r="ES112" s="732"/>
      <c r="ET112" s="732"/>
      <c r="EU112" s="732"/>
      <c r="EV112" s="732"/>
      <c r="EW112" s="732"/>
      <c r="EX112" s="732"/>
      <c r="EY112" s="732"/>
      <c r="EZ112" s="732"/>
      <c r="FA112" s="732"/>
      <c r="FB112" s="732"/>
      <c r="FC112" s="732"/>
      <c r="FD112" s="732"/>
      <c r="FE112" s="732"/>
      <c r="FF112" s="732"/>
      <c r="FG112" s="732"/>
      <c r="FH112" s="732"/>
      <c r="FI112" s="732"/>
      <c r="FJ112" s="732"/>
      <c r="FK112" s="732"/>
      <c r="FL112" s="732"/>
      <c r="FM112" s="732"/>
      <c r="FN112" s="732"/>
      <c r="FO112" s="732"/>
      <c r="FP112" s="732"/>
      <c r="FQ112" s="732"/>
      <c r="FR112" s="732"/>
      <c r="FS112" s="732"/>
      <c r="FT112" s="732"/>
      <c r="FU112" s="732"/>
      <c r="FV112" s="732"/>
      <c r="FW112" s="732"/>
      <c r="FX112" s="732"/>
      <c r="FY112" s="732"/>
      <c r="FZ112" s="732"/>
      <c r="GA112" s="732"/>
      <c r="GB112" s="732"/>
      <c r="GC112" s="732"/>
      <c r="GD112" s="732"/>
      <c r="GE112" s="732"/>
      <c r="GF112" s="732"/>
      <c r="GG112" s="732"/>
      <c r="GH112" s="732"/>
      <c r="GI112" s="732"/>
      <c r="GJ112" s="732"/>
      <c r="GK112" s="732"/>
      <c r="GL112" s="732"/>
      <c r="GM112" s="732"/>
      <c r="GN112" s="732"/>
      <c r="GO112" s="732"/>
      <c r="GP112" s="732"/>
      <c r="GQ112" s="732"/>
      <c r="GR112" s="732"/>
      <c r="GS112" s="732"/>
      <c r="GT112" s="732"/>
      <c r="GU112" s="732"/>
      <c r="GV112" s="732"/>
      <c r="GW112" s="732"/>
      <c r="GX112" s="732"/>
      <c r="GY112" s="732"/>
      <c r="GZ112" s="732"/>
      <c r="HA112" s="732"/>
      <c r="HB112" s="732"/>
      <c r="HC112" s="732"/>
      <c r="HD112" s="732"/>
      <c r="HE112" s="732"/>
      <c r="HF112" s="732"/>
      <c r="HG112" s="732"/>
      <c r="HH112" s="732"/>
      <c r="HI112" s="732"/>
      <c r="HJ112" s="732"/>
      <c r="HK112" s="732"/>
      <c r="HL112" s="732"/>
      <c r="HM112" s="732"/>
      <c r="HN112" s="732"/>
      <c r="HO112" s="732"/>
      <c r="HP112" s="732"/>
      <c r="HQ112" s="732"/>
      <c r="HR112" s="732"/>
      <c r="HS112" s="732"/>
      <c r="HT112" s="732"/>
      <c r="HU112" s="732"/>
      <c r="HV112" s="732"/>
      <c r="HW112" s="732"/>
      <c r="HX112" s="732"/>
      <c r="HY112" s="732"/>
      <c r="HZ112" s="732"/>
      <c r="IA112" s="732"/>
      <c r="IB112" s="732"/>
      <c r="IC112" s="732"/>
      <c r="ID112" s="732"/>
      <c r="IE112" s="732"/>
      <c r="IF112" s="732"/>
      <c r="IG112" s="732"/>
      <c r="IH112" s="732"/>
      <c r="II112" s="732"/>
      <c r="IJ112" s="732"/>
      <c r="IK112" s="732"/>
      <c r="IL112" s="732"/>
      <c r="IM112" s="732"/>
      <c r="IN112" s="732"/>
      <c r="IO112" s="732"/>
      <c r="IP112" s="732"/>
      <c r="IQ112" s="732"/>
      <c r="IR112" s="732"/>
      <c r="IS112" s="732"/>
    </row>
    <row r="113" s="563" customFormat="1" ht="15" spans="1:253">
      <c r="A113" s="719" t="s">
        <v>114</v>
      </c>
      <c r="B113" s="657" t="s">
        <v>190</v>
      </c>
      <c r="C113" s="698" t="s">
        <v>141</v>
      </c>
      <c r="D113" s="716" t="s">
        <v>23</v>
      </c>
      <c r="E113" s="720">
        <f>'PB VI - Memorial'!B118</f>
        <v>32.5</v>
      </c>
      <c r="F113" s="694">
        <v>393.85</v>
      </c>
      <c r="G113" s="694">
        <f t="shared" ref="G113:G116" si="15">ROUND(E113*F113,2)</f>
        <v>12800.13</v>
      </c>
      <c r="H113" s="711"/>
      <c r="I113" s="711"/>
      <c r="J113" s="711"/>
      <c r="K113" s="711"/>
      <c r="L113" s="711"/>
      <c r="M113" s="695">
        <f t="shared" si="14"/>
        <v>997182.95</v>
      </c>
      <c r="N113" s="729"/>
      <c r="O113" s="729"/>
      <c r="P113" s="729"/>
      <c r="Q113" s="729"/>
      <c r="R113" s="729"/>
      <c r="S113" s="729"/>
      <c r="T113" s="729"/>
      <c r="U113" s="729"/>
      <c r="V113" s="729"/>
      <c r="W113" s="729"/>
      <c r="X113" s="729"/>
      <c r="Y113" s="729"/>
      <c r="Z113" s="729"/>
      <c r="AA113" s="729"/>
      <c r="AB113" s="729"/>
      <c r="AC113" s="729"/>
      <c r="AD113" s="729"/>
      <c r="AE113" s="729"/>
      <c r="AF113" s="729"/>
      <c r="AG113" s="729"/>
      <c r="AH113" s="729"/>
      <c r="AI113" s="729"/>
      <c r="AJ113" s="729"/>
      <c r="AK113" s="729"/>
      <c r="AL113" s="729"/>
      <c r="AM113" s="729"/>
      <c r="AN113" s="729"/>
      <c r="AO113" s="729"/>
      <c r="AP113" s="729"/>
      <c r="AQ113" s="729"/>
      <c r="AR113" s="729"/>
      <c r="AS113" s="729"/>
      <c r="AT113" s="729"/>
      <c r="AU113" s="729"/>
      <c r="AV113" s="729"/>
      <c r="AW113" s="729"/>
      <c r="AX113" s="729"/>
      <c r="AY113" s="729"/>
      <c r="AZ113" s="729"/>
      <c r="BA113" s="729"/>
      <c r="BB113" s="729"/>
      <c r="BC113" s="729"/>
      <c r="BD113" s="729"/>
      <c r="BE113" s="729"/>
      <c r="BF113" s="729"/>
      <c r="BG113" s="729"/>
      <c r="BH113" s="729"/>
      <c r="BI113" s="729"/>
      <c r="BJ113" s="729"/>
      <c r="BK113" s="729"/>
      <c r="BL113" s="729"/>
      <c r="BM113" s="729"/>
      <c r="BN113" s="729"/>
      <c r="BO113" s="729"/>
      <c r="BP113" s="729"/>
      <c r="BQ113" s="729"/>
      <c r="BR113" s="729"/>
      <c r="BS113" s="729"/>
      <c r="BT113" s="729"/>
      <c r="BU113" s="729"/>
      <c r="BV113" s="729"/>
      <c r="BW113" s="732"/>
      <c r="BX113" s="732"/>
      <c r="BY113" s="732"/>
      <c r="BZ113" s="732"/>
      <c r="CA113" s="732"/>
      <c r="CB113" s="732"/>
      <c r="CC113" s="732"/>
      <c r="CD113" s="732"/>
      <c r="CE113" s="732"/>
      <c r="CF113" s="732"/>
      <c r="CG113" s="732"/>
      <c r="CH113" s="732"/>
      <c r="CI113" s="732"/>
      <c r="CJ113" s="732"/>
      <c r="CK113" s="732"/>
      <c r="CL113" s="732"/>
      <c r="CM113" s="732"/>
      <c r="CN113" s="732"/>
      <c r="CO113" s="732"/>
      <c r="CP113" s="732"/>
      <c r="CQ113" s="732"/>
      <c r="CR113" s="732"/>
      <c r="CS113" s="732"/>
      <c r="CT113" s="732"/>
      <c r="CU113" s="732"/>
      <c r="CV113" s="732"/>
      <c r="CW113" s="732"/>
      <c r="CX113" s="732"/>
      <c r="CY113" s="732"/>
      <c r="CZ113" s="732"/>
      <c r="DA113" s="732"/>
      <c r="DB113" s="732"/>
      <c r="DC113" s="732"/>
      <c r="DD113" s="732"/>
      <c r="DE113" s="732"/>
      <c r="DF113" s="732"/>
      <c r="DG113" s="732"/>
      <c r="DH113" s="732"/>
      <c r="DI113" s="732"/>
      <c r="DJ113" s="732"/>
      <c r="DK113" s="732"/>
      <c r="DL113" s="732"/>
      <c r="DM113" s="732"/>
      <c r="DN113" s="732"/>
      <c r="DO113" s="732"/>
      <c r="DP113" s="732"/>
      <c r="DQ113" s="732"/>
      <c r="DR113" s="732"/>
      <c r="DS113" s="732"/>
      <c r="DT113" s="732"/>
      <c r="DU113" s="732"/>
      <c r="DV113" s="732"/>
      <c r="DW113" s="732"/>
      <c r="DX113" s="732"/>
      <c r="DY113" s="732"/>
      <c r="DZ113" s="732"/>
      <c r="EA113" s="732"/>
      <c r="EB113" s="732"/>
      <c r="EC113" s="732"/>
      <c r="ED113" s="732"/>
      <c r="EE113" s="732"/>
      <c r="EF113" s="732"/>
      <c r="EG113" s="732"/>
      <c r="EH113" s="732"/>
      <c r="EI113" s="732"/>
      <c r="EJ113" s="732"/>
      <c r="EK113" s="732"/>
      <c r="EL113" s="732"/>
      <c r="EM113" s="732"/>
      <c r="EN113" s="732"/>
      <c r="EO113" s="732"/>
      <c r="EP113" s="732"/>
      <c r="EQ113" s="732"/>
      <c r="ER113" s="732"/>
      <c r="ES113" s="732"/>
      <c r="ET113" s="732"/>
      <c r="EU113" s="732"/>
      <c r="EV113" s="732"/>
      <c r="EW113" s="732"/>
      <c r="EX113" s="732"/>
      <c r="EY113" s="732"/>
      <c r="EZ113" s="732"/>
      <c r="FA113" s="732"/>
      <c r="FB113" s="732"/>
      <c r="FC113" s="732"/>
      <c r="FD113" s="732"/>
      <c r="FE113" s="732"/>
      <c r="FF113" s="732"/>
      <c r="FG113" s="732"/>
      <c r="FH113" s="732"/>
      <c r="FI113" s="732"/>
      <c r="FJ113" s="732"/>
      <c r="FK113" s="732"/>
      <c r="FL113" s="732"/>
      <c r="FM113" s="732"/>
      <c r="FN113" s="732"/>
      <c r="FO113" s="732"/>
      <c r="FP113" s="732"/>
      <c r="FQ113" s="732"/>
      <c r="FR113" s="732"/>
      <c r="FS113" s="732"/>
      <c r="FT113" s="732"/>
      <c r="FU113" s="732"/>
      <c r="FV113" s="732"/>
      <c r="FW113" s="732"/>
      <c r="FX113" s="732"/>
      <c r="FY113" s="732"/>
      <c r="FZ113" s="732"/>
      <c r="GA113" s="732"/>
      <c r="GB113" s="732"/>
      <c r="GC113" s="732"/>
      <c r="GD113" s="732"/>
      <c r="GE113" s="732"/>
      <c r="GF113" s="732"/>
      <c r="GG113" s="732"/>
      <c r="GH113" s="732"/>
      <c r="GI113" s="732"/>
      <c r="GJ113" s="732"/>
      <c r="GK113" s="732"/>
      <c r="GL113" s="732"/>
      <c r="GM113" s="732"/>
      <c r="GN113" s="732"/>
      <c r="GO113" s="732"/>
      <c r="GP113" s="732"/>
      <c r="GQ113" s="732"/>
      <c r="GR113" s="732"/>
      <c r="GS113" s="732"/>
      <c r="GT113" s="732"/>
      <c r="GU113" s="732"/>
      <c r="GV113" s="732"/>
      <c r="GW113" s="732"/>
      <c r="GX113" s="732"/>
      <c r="GY113" s="732"/>
      <c r="GZ113" s="732"/>
      <c r="HA113" s="732"/>
      <c r="HB113" s="732"/>
      <c r="HC113" s="732"/>
      <c r="HD113" s="732"/>
      <c r="HE113" s="732"/>
      <c r="HF113" s="732"/>
      <c r="HG113" s="732"/>
      <c r="HH113" s="732"/>
      <c r="HI113" s="732"/>
      <c r="HJ113" s="732"/>
      <c r="HK113" s="732"/>
      <c r="HL113" s="732"/>
      <c r="HM113" s="732"/>
      <c r="HN113" s="732"/>
      <c r="HO113" s="732"/>
      <c r="HP113" s="732"/>
      <c r="HQ113" s="732"/>
      <c r="HR113" s="732"/>
      <c r="HS113" s="732"/>
      <c r="HT113" s="732"/>
      <c r="HU113" s="732"/>
      <c r="HV113" s="732"/>
      <c r="HW113" s="732"/>
      <c r="HX113" s="732"/>
      <c r="HY113" s="732"/>
      <c r="HZ113" s="732"/>
      <c r="IA113" s="732"/>
      <c r="IB113" s="732"/>
      <c r="IC113" s="732"/>
      <c r="ID113" s="732"/>
      <c r="IE113" s="732"/>
      <c r="IF113" s="732"/>
      <c r="IG113" s="732"/>
      <c r="IH113" s="732"/>
      <c r="II113" s="732"/>
      <c r="IJ113" s="732"/>
      <c r="IK113" s="732"/>
      <c r="IL113" s="732"/>
      <c r="IM113" s="732"/>
      <c r="IN113" s="732"/>
      <c r="IO113" s="732"/>
      <c r="IP113" s="732"/>
      <c r="IQ113" s="732"/>
      <c r="IR113" s="732"/>
      <c r="IS113" s="732"/>
    </row>
    <row r="114" s="563" customFormat="1" ht="15" spans="1:253">
      <c r="A114" s="719" t="s">
        <v>64</v>
      </c>
      <c r="B114" s="657" t="s">
        <v>191</v>
      </c>
      <c r="C114" s="698" t="s">
        <v>118</v>
      </c>
      <c r="D114" s="716" t="s">
        <v>23</v>
      </c>
      <c r="E114" s="720">
        <f>E113</f>
        <v>32.5</v>
      </c>
      <c r="F114" s="694">
        <v>143.94</v>
      </c>
      <c r="G114" s="694">
        <f t="shared" si="15"/>
        <v>4678.05</v>
      </c>
      <c r="H114" s="711"/>
      <c r="I114" s="711"/>
      <c r="J114" s="711"/>
      <c r="K114" s="711"/>
      <c r="L114" s="711"/>
      <c r="M114" s="695">
        <f t="shared" si="14"/>
        <v>997182.95</v>
      </c>
      <c r="N114" s="729"/>
      <c r="O114" s="729"/>
      <c r="P114" s="729"/>
      <c r="Q114" s="729"/>
      <c r="R114" s="729"/>
      <c r="S114" s="729"/>
      <c r="T114" s="729"/>
      <c r="U114" s="729"/>
      <c r="V114" s="729"/>
      <c r="W114" s="729"/>
      <c r="X114" s="729"/>
      <c r="Y114" s="729"/>
      <c r="Z114" s="729"/>
      <c r="AA114" s="729"/>
      <c r="AB114" s="729"/>
      <c r="AC114" s="729"/>
      <c r="AD114" s="729"/>
      <c r="AE114" s="729"/>
      <c r="AF114" s="729"/>
      <c r="AG114" s="729"/>
      <c r="AH114" s="729"/>
      <c r="AI114" s="729"/>
      <c r="AJ114" s="729"/>
      <c r="AK114" s="729"/>
      <c r="AL114" s="729"/>
      <c r="AM114" s="729"/>
      <c r="AN114" s="729"/>
      <c r="AO114" s="729"/>
      <c r="AP114" s="729"/>
      <c r="AQ114" s="729"/>
      <c r="AR114" s="729"/>
      <c r="AS114" s="729"/>
      <c r="AT114" s="729"/>
      <c r="AU114" s="729"/>
      <c r="AV114" s="729"/>
      <c r="AW114" s="729"/>
      <c r="AX114" s="729"/>
      <c r="AY114" s="729"/>
      <c r="AZ114" s="729"/>
      <c r="BA114" s="729"/>
      <c r="BB114" s="729"/>
      <c r="BC114" s="729"/>
      <c r="BD114" s="729"/>
      <c r="BE114" s="729"/>
      <c r="BF114" s="729"/>
      <c r="BG114" s="729"/>
      <c r="BH114" s="729"/>
      <c r="BI114" s="729"/>
      <c r="BJ114" s="729"/>
      <c r="BK114" s="729"/>
      <c r="BL114" s="729"/>
      <c r="BM114" s="729"/>
      <c r="BN114" s="729"/>
      <c r="BO114" s="729"/>
      <c r="BP114" s="729"/>
      <c r="BQ114" s="729"/>
      <c r="BR114" s="729"/>
      <c r="BS114" s="729"/>
      <c r="BT114" s="729"/>
      <c r="BU114" s="729"/>
      <c r="BV114" s="729"/>
      <c r="BW114" s="732"/>
      <c r="BX114" s="732"/>
      <c r="BY114" s="732"/>
      <c r="BZ114" s="732"/>
      <c r="CA114" s="732"/>
      <c r="CB114" s="732"/>
      <c r="CC114" s="732"/>
      <c r="CD114" s="732"/>
      <c r="CE114" s="732"/>
      <c r="CF114" s="732"/>
      <c r="CG114" s="732"/>
      <c r="CH114" s="732"/>
      <c r="CI114" s="732"/>
      <c r="CJ114" s="732"/>
      <c r="CK114" s="732"/>
      <c r="CL114" s="732"/>
      <c r="CM114" s="732"/>
      <c r="CN114" s="732"/>
      <c r="CO114" s="732"/>
      <c r="CP114" s="732"/>
      <c r="CQ114" s="732"/>
      <c r="CR114" s="732"/>
      <c r="CS114" s="732"/>
      <c r="CT114" s="732"/>
      <c r="CU114" s="732"/>
      <c r="CV114" s="732"/>
      <c r="CW114" s="732"/>
      <c r="CX114" s="732"/>
      <c r="CY114" s="732"/>
      <c r="CZ114" s="732"/>
      <c r="DA114" s="732"/>
      <c r="DB114" s="732"/>
      <c r="DC114" s="732"/>
      <c r="DD114" s="732"/>
      <c r="DE114" s="732"/>
      <c r="DF114" s="732"/>
      <c r="DG114" s="732"/>
      <c r="DH114" s="732"/>
      <c r="DI114" s="732"/>
      <c r="DJ114" s="732"/>
      <c r="DK114" s="732"/>
      <c r="DL114" s="732"/>
      <c r="DM114" s="732"/>
      <c r="DN114" s="732"/>
      <c r="DO114" s="732"/>
      <c r="DP114" s="732"/>
      <c r="DQ114" s="732"/>
      <c r="DR114" s="732"/>
      <c r="DS114" s="732"/>
      <c r="DT114" s="732"/>
      <c r="DU114" s="732"/>
      <c r="DV114" s="732"/>
      <c r="DW114" s="732"/>
      <c r="DX114" s="732"/>
      <c r="DY114" s="732"/>
      <c r="DZ114" s="732"/>
      <c r="EA114" s="732"/>
      <c r="EB114" s="732"/>
      <c r="EC114" s="732"/>
      <c r="ED114" s="732"/>
      <c r="EE114" s="732"/>
      <c r="EF114" s="732"/>
      <c r="EG114" s="732"/>
      <c r="EH114" s="732"/>
      <c r="EI114" s="732"/>
      <c r="EJ114" s="732"/>
      <c r="EK114" s="732"/>
      <c r="EL114" s="732"/>
      <c r="EM114" s="732"/>
      <c r="EN114" s="732"/>
      <c r="EO114" s="732"/>
      <c r="EP114" s="732"/>
      <c r="EQ114" s="732"/>
      <c r="ER114" s="732"/>
      <c r="ES114" s="732"/>
      <c r="ET114" s="732"/>
      <c r="EU114" s="732"/>
      <c r="EV114" s="732"/>
      <c r="EW114" s="732"/>
      <c r="EX114" s="732"/>
      <c r="EY114" s="732"/>
      <c r="EZ114" s="732"/>
      <c r="FA114" s="732"/>
      <c r="FB114" s="732"/>
      <c r="FC114" s="732"/>
      <c r="FD114" s="732"/>
      <c r="FE114" s="732"/>
      <c r="FF114" s="732"/>
      <c r="FG114" s="732"/>
      <c r="FH114" s="732"/>
      <c r="FI114" s="732"/>
      <c r="FJ114" s="732"/>
      <c r="FK114" s="732"/>
      <c r="FL114" s="732"/>
      <c r="FM114" s="732"/>
      <c r="FN114" s="732"/>
      <c r="FO114" s="732"/>
      <c r="FP114" s="732"/>
      <c r="FQ114" s="732"/>
      <c r="FR114" s="732"/>
      <c r="FS114" s="732"/>
      <c r="FT114" s="732"/>
      <c r="FU114" s="732"/>
      <c r="FV114" s="732"/>
      <c r="FW114" s="732"/>
      <c r="FX114" s="732"/>
      <c r="FY114" s="732"/>
      <c r="FZ114" s="732"/>
      <c r="GA114" s="732"/>
      <c r="GB114" s="732"/>
      <c r="GC114" s="732"/>
      <c r="GD114" s="732"/>
      <c r="GE114" s="732"/>
      <c r="GF114" s="732"/>
      <c r="GG114" s="732"/>
      <c r="GH114" s="732"/>
      <c r="GI114" s="732"/>
      <c r="GJ114" s="732"/>
      <c r="GK114" s="732"/>
      <c r="GL114" s="732"/>
      <c r="GM114" s="732"/>
      <c r="GN114" s="732"/>
      <c r="GO114" s="732"/>
      <c r="GP114" s="732"/>
      <c r="GQ114" s="732"/>
      <c r="GR114" s="732"/>
      <c r="GS114" s="732"/>
      <c r="GT114" s="732"/>
      <c r="GU114" s="732"/>
      <c r="GV114" s="732"/>
      <c r="GW114" s="732"/>
      <c r="GX114" s="732"/>
      <c r="GY114" s="732"/>
      <c r="GZ114" s="732"/>
      <c r="HA114" s="732"/>
      <c r="HB114" s="732"/>
      <c r="HC114" s="732"/>
      <c r="HD114" s="732"/>
      <c r="HE114" s="732"/>
      <c r="HF114" s="732"/>
      <c r="HG114" s="732"/>
      <c r="HH114" s="732"/>
      <c r="HI114" s="732"/>
      <c r="HJ114" s="732"/>
      <c r="HK114" s="732"/>
      <c r="HL114" s="732"/>
      <c r="HM114" s="732"/>
      <c r="HN114" s="732"/>
      <c r="HO114" s="732"/>
      <c r="HP114" s="732"/>
      <c r="HQ114" s="732"/>
      <c r="HR114" s="732"/>
      <c r="HS114" s="732"/>
      <c r="HT114" s="732"/>
      <c r="HU114" s="732"/>
      <c r="HV114" s="732"/>
      <c r="HW114" s="732"/>
      <c r="HX114" s="732"/>
      <c r="HY114" s="732"/>
      <c r="HZ114" s="732"/>
      <c r="IA114" s="732"/>
      <c r="IB114" s="732"/>
      <c r="IC114" s="732"/>
      <c r="ID114" s="732"/>
      <c r="IE114" s="732"/>
      <c r="IF114" s="732"/>
      <c r="IG114" s="732"/>
      <c r="IH114" s="732"/>
      <c r="II114" s="732"/>
      <c r="IJ114" s="732"/>
      <c r="IK114" s="732"/>
      <c r="IL114" s="732"/>
      <c r="IM114" s="732"/>
      <c r="IN114" s="732"/>
      <c r="IO114" s="732"/>
      <c r="IP114" s="732"/>
      <c r="IQ114" s="732"/>
      <c r="IR114" s="732"/>
      <c r="IS114" s="732"/>
    </row>
    <row r="115" s="563" customFormat="1" ht="15" spans="1:253">
      <c r="A115" s="719" t="s">
        <v>192</v>
      </c>
      <c r="B115" s="657" t="s">
        <v>193</v>
      </c>
      <c r="C115" s="727" t="s">
        <v>172</v>
      </c>
      <c r="D115" s="716" t="s">
        <v>17</v>
      </c>
      <c r="E115" s="720">
        <f>'PB VI - Memorial'!C118</f>
        <v>322.53</v>
      </c>
      <c r="F115" s="694">
        <v>22.82</v>
      </c>
      <c r="G115" s="694">
        <f t="shared" si="15"/>
        <v>7360.13</v>
      </c>
      <c r="H115" s="711"/>
      <c r="I115" s="711"/>
      <c r="J115" s="711"/>
      <c r="K115" s="711"/>
      <c r="L115" s="711"/>
      <c r="M115" s="695">
        <f t="shared" si="14"/>
        <v>997182.95</v>
      </c>
      <c r="N115" s="729"/>
      <c r="O115" s="729"/>
      <c r="P115" s="729"/>
      <c r="Q115" s="729"/>
      <c r="R115" s="729"/>
      <c r="S115" s="729"/>
      <c r="T115" s="729"/>
      <c r="U115" s="729"/>
      <c r="V115" s="729"/>
      <c r="W115" s="729"/>
      <c r="X115" s="729"/>
      <c r="Y115" s="729"/>
      <c r="Z115" s="729"/>
      <c r="AA115" s="729"/>
      <c r="AB115" s="729"/>
      <c r="AC115" s="729"/>
      <c r="AD115" s="729"/>
      <c r="AE115" s="729"/>
      <c r="AF115" s="729"/>
      <c r="AG115" s="729"/>
      <c r="AH115" s="729"/>
      <c r="AI115" s="729"/>
      <c r="AJ115" s="729"/>
      <c r="AK115" s="729"/>
      <c r="AL115" s="729"/>
      <c r="AM115" s="729"/>
      <c r="AN115" s="729"/>
      <c r="AO115" s="729"/>
      <c r="AP115" s="729"/>
      <c r="AQ115" s="729"/>
      <c r="AR115" s="729"/>
      <c r="AS115" s="729"/>
      <c r="AT115" s="729"/>
      <c r="AU115" s="729"/>
      <c r="AV115" s="729"/>
      <c r="AW115" s="729"/>
      <c r="AX115" s="729"/>
      <c r="AY115" s="729"/>
      <c r="AZ115" s="729"/>
      <c r="BA115" s="729"/>
      <c r="BB115" s="729"/>
      <c r="BC115" s="729"/>
      <c r="BD115" s="729"/>
      <c r="BE115" s="729"/>
      <c r="BF115" s="729"/>
      <c r="BG115" s="729"/>
      <c r="BH115" s="729"/>
      <c r="BI115" s="729"/>
      <c r="BJ115" s="729"/>
      <c r="BK115" s="729"/>
      <c r="BL115" s="729"/>
      <c r="BM115" s="729"/>
      <c r="BN115" s="729"/>
      <c r="BO115" s="729"/>
      <c r="BP115" s="729"/>
      <c r="BQ115" s="729"/>
      <c r="BR115" s="729"/>
      <c r="BS115" s="729"/>
      <c r="BT115" s="729"/>
      <c r="BU115" s="729"/>
      <c r="BV115" s="729"/>
      <c r="BW115" s="732"/>
      <c r="BX115" s="732"/>
      <c r="BY115" s="732"/>
      <c r="BZ115" s="732"/>
      <c r="CA115" s="732"/>
      <c r="CB115" s="732"/>
      <c r="CC115" s="732"/>
      <c r="CD115" s="732"/>
      <c r="CE115" s="732"/>
      <c r="CF115" s="732"/>
      <c r="CG115" s="732"/>
      <c r="CH115" s="732"/>
      <c r="CI115" s="732"/>
      <c r="CJ115" s="732"/>
      <c r="CK115" s="732"/>
      <c r="CL115" s="732"/>
      <c r="CM115" s="732"/>
      <c r="CN115" s="732"/>
      <c r="CO115" s="732"/>
      <c r="CP115" s="732"/>
      <c r="CQ115" s="732"/>
      <c r="CR115" s="732"/>
      <c r="CS115" s="732"/>
      <c r="CT115" s="732"/>
      <c r="CU115" s="732"/>
      <c r="CV115" s="732"/>
      <c r="CW115" s="732"/>
      <c r="CX115" s="732"/>
      <c r="CY115" s="732"/>
      <c r="CZ115" s="732"/>
      <c r="DA115" s="732"/>
      <c r="DB115" s="732"/>
      <c r="DC115" s="732"/>
      <c r="DD115" s="732"/>
      <c r="DE115" s="732"/>
      <c r="DF115" s="732"/>
      <c r="DG115" s="732"/>
      <c r="DH115" s="732"/>
      <c r="DI115" s="732"/>
      <c r="DJ115" s="732"/>
      <c r="DK115" s="732"/>
      <c r="DL115" s="732"/>
      <c r="DM115" s="732"/>
      <c r="DN115" s="732"/>
      <c r="DO115" s="732"/>
      <c r="DP115" s="732"/>
      <c r="DQ115" s="732"/>
      <c r="DR115" s="732"/>
      <c r="DS115" s="732"/>
      <c r="DT115" s="732"/>
      <c r="DU115" s="732"/>
      <c r="DV115" s="732"/>
      <c r="DW115" s="732"/>
      <c r="DX115" s="732"/>
      <c r="DY115" s="732"/>
      <c r="DZ115" s="732"/>
      <c r="EA115" s="732"/>
      <c r="EB115" s="732"/>
      <c r="EC115" s="732"/>
      <c r="ED115" s="732"/>
      <c r="EE115" s="732"/>
      <c r="EF115" s="732"/>
      <c r="EG115" s="732"/>
      <c r="EH115" s="732"/>
      <c r="EI115" s="732"/>
      <c r="EJ115" s="732"/>
      <c r="EK115" s="732"/>
      <c r="EL115" s="732"/>
      <c r="EM115" s="732"/>
      <c r="EN115" s="732"/>
      <c r="EO115" s="732"/>
      <c r="EP115" s="732"/>
      <c r="EQ115" s="732"/>
      <c r="ER115" s="732"/>
      <c r="ES115" s="732"/>
      <c r="ET115" s="732"/>
      <c r="EU115" s="732"/>
      <c r="EV115" s="732"/>
      <c r="EW115" s="732"/>
      <c r="EX115" s="732"/>
      <c r="EY115" s="732"/>
      <c r="EZ115" s="732"/>
      <c r="FA115" s="732"/>
      <c r="FB115" s="732"/>
      <c r="FC115" s="732"/>
      <c r="FD115" s="732"/>
      <c r="FE115" s="732"/>
      <c r="FF115" s="732"/>
      <c r="FG115" s="732"/>
      <c r="FH115" s="732"/>
      <c r="FI115" s="732"/>
      <c r="FJ115" s="732"/>
      <c r="FK115" s="732"/>
      <c r="FL115" s="732"/>
      <c r="FM115" s="732"/>
      <c r="FN115" s="732"/>
      <c r="FO115" s="732"/>
      <c r="FP115" s="732"/>
      <c r="FQ115" s="732"/>
      <c r="FR115" s="732"/>
      <c r="FS115" s="732"/>
      <c r="FT115" s="732"/>
      <c r="FU115" s="732"/>
      <c r="FV115" s="732"/>
      <c r="FW115" s="732"/>
      <c r="FX115" s="732"/>
      <c r="FY115" s="732"/>
      <c r="FZ115" s="732"/>
      <c r="GA115" s="732"/>
      <c r="GB115" s="732"/>
      <c r="GC115" s="732"/>
      <c r="GD115" s="732"/>
      <c r="GE115" s="732"/>
      <c r="GF115" s="732"/>
      <c r="GG115" s="732"/>
      <c r="GH115" s="732"/>
      <c r="GI115" s="732"/>
      <c r="GJ115" s="732"/>
      <c r="GK115" s="732"/>
      <c r="GL115" s="732"/>
      <c r="GM115" s="732"/>
      <c r="GN115" s="732"/>
      <c r="GO115" s="732"/>
      <c r="GP115" s="732"/>
      <c r="GQ115" s="732"/>
      <c r="GR115" s="732"/>
      <c r="GS115" s="732"/>
      <c r="GT115" s="732"/>
      <c r="GU115" s="732"/>
      <c r="GV115" s="732"/>
      <c r="GW115" s="732"/>
      <c r="GX115" s="732"/>
      <c r="GY115" s="732"/>
      <c r="GZ115" s="732"/>
      <c r="HA115" s="732"/>
      <c r="HB115" s="732"/>
      <c r="HC115" s="732"/>
      <c r="HD115" s="732"/>
      <c r="HE115" s="732"/>
      <c r="HF115" s="732"/>
      <c r="HG115" s="732"/>
      <c r="HH115" s="732"/>
      <c r="HI115" s="732"/>
      <c r="HJ115" s="732"/>
      <c r="HK115" s="732"/>
      <c r="HL115" s="732"/>
      <c r="HM115" s="732"/>
      <c r="HN115" s="732"/>
      <c r="HO115" s="732"/>
      <c r="HP115" s="732"/>
      <c r="HQ115" s="732"/>
      <c r="HR115" s="732"/>
      <c r="HS115" s="732"/>
      <c r="HT115" s="732"/>
      <c r="HU115" s="732"/>
      <c r="HV115" s="732"/>
      <c r="HW115" s="732"/>
      <c r="HX115" s="732"/>
      <c r="HY115" s="732"/>
      <c r="HZ115" s="732"/>
      <c r="IA115" s="732"/>
      <c r="IB115" s="732"/>
      <c r="IC115" s="732"/>
      <c r="ID115" s="732"/>
      <c r="IE115" s="732"/>
      <c r="IF115" s="732"/>
      <c r="IG115" s="732"/>
      <c r="IH115" s="732"/>
      <c r="II115" s="732"/>
      <c r="IJ115" s="732"/>
      <c r="IK115" s="732"/>
      <c r="IL115" s="732"/>
      <c r="IM115" s="732"/>
      <c r="IN115" s="732"/>
      <c r="IO115" s="732"/>
      <c r="IP115" s="732"/>
      <c r="IQ115" s="732"/>
      <c r="IR115" s="732"/>
      <c r="IS115" s="732"/>
    </row>
    <row r="116" s="563" customFormat="1" ht="15" spans="1:253">
      <c r="A116" s="719" t="s">
        <v>194</v>
      </c>
      <c r="B116" s="657" t="s">
        <v>195</v>
      </c>
      <c r="C116" s="698" t="s">
        <v>123</v>
      </c>
      <c r="D116" s="716" t="s">
        <v>69</v>
      </c>
      <c r="E116" s="720">
        <f>'PB VI - Memorial'!B120</f>
        <v>870.27</v>
      </c>
      <c r="F116" s="694">
        <v>8.53</v>
      </c>
      <c r="G116" s="694">
        <f t="shared" si="15"/>
        <v>7423.4</v>
      </c>
      <c r="H116" s="711"/>
      <c r="I116" s="711"/>
      <c r="J116" s="711"/>
      <c r="K116" s="711"/>
      <c r="L116" s="711"/>
      <c r="M116" s="695">
        <f t="shared" si="14"/>
        <v>997182.95</v>
      </c>
      <c r="N116" s="729"/>
      <c r="O116" s="729"/>
      <c r="P116" s="729"/>
      <c r="Q116" s="729"/>
      <c r="R116" s="729"/>
      <c r="S116" s="729"/>
      <c r="T116" s="729"/>
      <c r="U116" s="729"/>
      <c r="V116" s="729"/>
      <c r="W116" s="729"/>
      <c r="X116" s="729"/>
      <c r="Y116" s="729"/>
      <c r="Z116" s="729"/>
      <c r="AA116" s="729"/>
      <c r="AB116" s="729"/>
      <c r="AC116" s="729"/>
      <c r="AD116" s="729"/>
      <c r="AE116" s="729"/>
      <c r="AF116" s="729"/>
      <c r="AG116" s="729"/>
      <c r="AH116" s="729"/>
      <c r="AI116" s="729"/>
      <c r="AJ116" s="729"/>
      <c r="AK116" s="729"/>
      <c r="AL116" s="729"/>
      <c r="AM116" s="729"/>
      <c r="AN116" s="729"/>
      <c r="AO116" s="729"/>
      <c r="AP116" s="729"/>
      <c r="AQ116" s="729"/>
      <c r="AR116" s="729"/>
      <c r="AS116" s="729"/>
      <c r="AT116" s="729"/>
      <c r="AU116" s="729"/>
      <c r="AV116" s="729"/>
      <c r="AW116" s="729"/>
      <c r="AX116" s="729"/>
      <c r="AY116" s="729"/>
      <c r="AZ116" s="729"/>
      <c r="BA116" s="729"/>
      <c r="BB116" s="729"/>
      <c r="BC116" s="729"/>
      <c r="BD116" s="729"/>
      <c r="BE116" s="729"/>
      <c r="BF116" s="729"/>
      <c r="BG116" s="729"/>
      <c r="BH116" s="729"/>
      <c r="BI116" s="729"/>
      <c r="BJ116" s="729"/>
      <c r="BK116" s="729"/>
      <c r="BL116" s="729"/>
      <c r="BM116" s="729"/>
      <c r="BN116" s="729"/>
      <c r="BO116" s="729"/>
      <c r="BP116" s="729"/>
      <c r="BQ116" s="729"/>
      <c r="BR116" s="729"/>
      <c r="BS116" s="729"/>
      <c r="BT116" s="729"/>
      <c r="BU116" s="729"/>
      <c r="BV116" s="729"/>
      <c r="BW116" s="732"/>
      <c r="BX116" s="732"/>
      <c r="BY116" s="732"/>
      <c r="BZ116" s="732"/>
      <c r="CA116" s="732"/>
      <c r="CB116" s="732"/>
      <c r="CC116" s="732"/>
      <c r="CD116" s="732"/>
      <c r="CE116" s="732"/>
      <c r="CF116" s="732"/>
      <c r="CG116" s="732"/>
      <c r="CH116" s="732"/>
      <c r="CI116" s="732"/>
      <c r="CJ116" s="732"/>
      <c r="CK116" s="732"/>
      <c r="CL116" s="732"/>
      <c r="CM116" s="732"/>
      <c r="CN116" s="732"/>
      <c r="CO116" s="732"/>
      <c r="CP116" s="732"/>
      <c r="CQ116" s="732"/>
      <c r="CR116" s="732"/>
      <c r="CS116" s="732"/>
      <c r="CT116" s="732"/>
      <c r="CU116" s="732"/>
      <c r="CV116" s="732"/>
      <c r="CW116" s="732"/>
      <c r="CX116" s="732"/>
      <c r="CY116" s="732"/>
      <c r="CZ116" s="732"/>
      <c r="DA116" s="732"/>
      <c r="DB116" s="732"/>
      <c r="DC116" s="732"/>
      <c r="DD116" s="732"/>
      <c r="DE116" s="732"/>
      <c r="DF116" s="732"/>
      <c r="DG116" s="732"/>
      <c r="DH116" s="732"/>
      <c r="DI116" s="732"/>
      <c r="DJ116" s="732"/>
      <c r="DK116" s="732"/>
      <c r="DL116" s="732"/>
      <c r="DM116" s="732"/>
      <c r="DN116" s="732"/>
      <c r="DO116" s="732"/>
      <c r="DP116" s="732"/>
      <c r="DQ116" s="732"/>
      <c r="DR116" s="732"/>
      <c r="DS116" s="732"/>
      <c r="DT116" s="732"/>
      <c r="DU116" s="732"/>
      <c r="DV116" s="732"/>
      <c r="DW116" s="732"/>
      <c r="DX116" s="732"/>
      <c r="DY116" s="732"/>
      <c r="DZ116" s="732"/>
      <c r="EA116" s="732"/>
      <c r="EB116" s="732"/>
      <c r="EC116" s="732"/>
      <c r="ED116" s="732"/>
      <c r="EE116" s="732"/>
      <c r="EF116" s="732"/>
      <c r="EG116" s="732"/>
      <c r="EH116" s="732"/>
      <c r="EI116" s="732"/>
      <c r="EJ116" s="732"/>
      <c r="EK116" s="732"/>
      <c r="EL116" s="732"/>
      <c r="EM116" s="732"/>
      <c r="EN116" s="732"/>
      <c r="EO116" s="732"/>
      <c r="EP116" s="732"/>
      <c r="EQ116" s="732"/>
      <c r="ER116" s="732"/>
      <c r="ES116" s="732"/>
      <c r="ET116" s="732"/>
      <c r="EU116" s="732"/>
      <c r="EV116" s="732"/>
      <c r="EW116" s="732"/>
      <c r="EX116" s="732"/>
      <c r="EY116" s="732"/>
      <c r="EZ116" s="732"/>
      <c r="FA116" s="732"/>
      <c r="FB116" s="732"/>
      <c r="FC116" s="732"/>
      <c r="FD116" s="732"/>
      <c r="FE116" s="732"/>
      <c r="FF116" s="732"/>
      <c r="FG116" s="732"/>
      <c r="FH116" s="732"/>
      <c r="FI116" s="732"/>
      <c r="FJ116" s="732"/>
      <c r="FK116" s="732"/>
      <c r="FL116" s="732"/>
      <c r="FM116" s="732"/>
      <c r="FN116" s="732"/>
      <c r="FO116" s="732"/>
      <c r="FP116" s="732"/>
      <c r="FQ116" s="732"/>
      <c r="FR116" s="732"/>
      <c r="FS116" s="732"/>
      <c r="FT116" s="732"/>
      <c r="FU116" s="732"/>
      <c r="FV116" s="732"/>
      <c r="FW116" s="732"/>
      <c r="FX116" s="732"/>
      <c r="FY116" s="732"/>
      <c r="FZ116" s="732"/>
      <c r="GA116" s="732"/>
      <c r="GB116" s="732"/>
      <c r="GC116" s="732"/>
      <c r="GD116" s="732"/>
      <c r="GE116" s="732"/>
      <c r="GF116" s="732"/>
      <c r="GG116" s="732"/>
      <c r="GH116" s="732"/>
      <c r="GI116" s="732"/>
      <c r="GJ116" s="732"/>
      <c r="GK116" s="732"/>
      <c r="GL116" s="732"/>
      <c r="GM116" s="732"/>
      <c r="GN116" s="732"/>
      <c r="GO116" s="732"/>
      <c r="GP116" s="732"/>
      <c r="GQ116" s="732"/>
      <c r="GR116" s="732"/>
      <c r="GS116" s="732"/>
      <c r="GT116" s="732"/>
      <c r="GU116" s="732"/>
      <c r="GV116" s="732"/>
      <c r="GW116" s="732"/>
      <c r="GX116" s="732"/>
      <c r="GY116" s="732"/>
      <c r="GZ116" s="732"/>
      <c r="HA116" s="732"/>
      <c r="HB116" s="732"/>
      <c r="HC116" s="732"/>
      <c r="HD116" s="732"/>
      <c r="HE116" s="732"/>
      <c r="HF116" s="732"/>
      <c r="HG116" s="732"/>
      <c r="HH116" s="732"/>
      <c r="HI116" s="732"/>
      <c r="HJ116" s="732"/>
      <c r="HK116" s="732"/>
      <c r="HL116" s="732"/>
      <c r="HM116" s="732"/>
      <c r="HN116" s="732"/>
      <c r="HO116" s="732"/>
      <c r="HP116" s="732"/>
      <c r="HQ116" s="732"/>
      <c r="HR116" s="732"/>
      <c r="HS116" s="732"/>
      <c r="HT116" s="732"/>
      <c r="HU116" s="732"/>
      <c r="HV116" s="732"/>
      <c r="HW116" s="732"/>
      <c r="HX116" s="732"/>
      <c r="HY116" s="732"/>
      <c r="HZ116" s="732"/>
      <c r="IA116" s="732"/>
      <c r="IB116" s="732"/>
      <c r="IC116" s="732"/>
      <c r="ID116" s="732"/>
      <c r="IE116" s="732"/>
      <c r="IF116" s="732"/>
      <c r="IG116" s="732"/>
      <c r="IH116" s="732"/>
      <c r="II116" s="732"/>
      <c r="IJ116" s="732"/>
      <c r="IK116" s="732"/>
      <c r="IL116" s="732"/>
      <c r="IM116" s="732"/>
      <c r="IN116" s="732"/>
      <c r="IO116" s="732"/>
      <c r="IP116" s="732"/>
      <c r="IQ116" s="732"/>
      <c r="IR116" s="732"/>
      <c r="IS116" s="732"/>
    </row>
    <row r="117" s="563" customFormat="1" ht="15" spans="1:253">
      <c r="A117" s="719" t="s">
        <v>196</v>
      </c>
      <c r="B117" s="657" t="s">
        <v>197</v>
      </c>
      <c r="C117" s="698" t="s">
        <v>126</v>
      </c>
      <c r="D117" s="716" t="s">
        <v>69</v>
      </c>
      <c r="E117" s="720">
        <f>'PB VI - Memorial'!C120</f>
        <v>544.91</v>
      </c>
      <c r="F117" s="694">
        <v>8.1</v>
      </c>
      <c r="G117" s="694">
        <f t="shared" ref="G117:G118" si="16">ROUND(E117*F117,2)</f>
        <v>4413.77</v>
      </c>
      <c r="H117" s="711"/>
      <c r="I117" s="711"/>
      <c r="J117" s="711"/>
      <c r="K117" s="711"/>
      <c r="L117" s="711"/>
      <c r="M117" s="695">
        <f t="shared" si="14"/>
        <v>997182.95</v>
      </c>
      <c r="N117" s="729"/>
      <c r="O117" s="729"/>
      <c r="P117" s="729"/>
      <c r="Q117" s="729"/>
      <c r="R117" s="729"/>
      <c r="S117" s="729"/>
      <c r="T117" s="729"/>
      <c r="U117" s="729"/>
      <c r="V117" s="729"/>
      <c r="W117" s="729"/>
      <c r="X117" s="729"/>
      <c r="Y117" s="729"/>
      <c r="Z117" s="729"/>
      <c r="AA117" s="729"/>
      <c r="AB117" s="729"/>
      <c r="AC117" s="729"/>
      <c r="AD117" s="729"/>
      <c r="AE117" s="729"/>
      <c r="AF117" s="729"/>
      <c r="AG117" s="729"/>
      <c r="AH117" s="729"/>
      <c r="AI117" s="729"/>
      <c r="AJ117" s="729"/>
      <c r="AK117" s="729"/>
      <c r="AL117" s="729"/>
      <c r="AM117" s="729"/>
      <c r="AN117" s="729"/>
      <c r="AO117" s="729"/>
      <c r="AP117" s="729"/>
      <c r="AQ117" s="729"/>
      <c r="AR117" s="729"/>
      <c r="AS117" s="729"/>
      <c r="AT117" s="729"/>
      <c r="AU117" s="729"/>
      <c r="AV117" s="729"/>
      <c r="AW117" s="729"/>
      <c r="AX117" s="729"/>
      <c r="AY117" s="729"/>
      <c r="AZ117" s="729"/>
      <c r="BA117" s="729"/>
      <c r="BB117" s="729"/>
      <c r="BC117" s="729"/>
      <c r="BD117" s="729"/>
      <c r="BE117" s="729"/>
      <c r="BF117" s="729"/>
      <c r="BG117" s="729"/>
      <c r="BH117" s="729"/>
      <c r="BI117" s="729"/>
      <c r="BJ117" s="729"/>
      <c r="BK117" s="729"/>
      <c r="BL117" s="729"/>
      <c r="BM117" s="729"/>
      <c r="BN117" s="729"/>
      <c r="BO117" s="729"/>
      <c r="BP117" s="729"/>
      <c r="BQ117" s="729"/>
      <c r="BR117" s="729"/>
      <c r="BS117" s="729"/>
      <c r="BT117" s="729"/>
      <c r="BU117" s="729"/>
      <c r="BV117" s="729"/>
      <c r="BW117" s="732"/>
      <c r="BX117" s="732"/>
      <c r="BY117" s="732"/>
      <c r="BZ117" s="732"/>
      <c r="CA117" s="732"/>
      <c r="CB117" s="732"/>
      <c r="CC117" s="732"/>
      <c r="CD117" s="732"/>
      <c r="CE117" s="732"/>
      <c r="CF117" s="732"/>
      <c r="CG117" s="732"/>
      <c r="CH117" s="732"/>
      <c r="CI117" s="732"/>
      <c r="CJ117" s="732"/>
      <c r="CK117" s="732"/>
      <c r="CL117" s="732"/>
      <c r="CM117" s="732"/>
      <c r="CN117" s="732"/>
      <c r="CO117" s="732"/>
      <c r="CP117" s="732"/>
      <c r="CQ117" s="732"/>
      <c r="CR117" s="732"/>
      <c r="CS117" s="732"/>
      <c r="CT117" s="732"/>
      <c r="CU117" s="732"/>
      <c r="CV117" s="732"/>
      <c r="CW117" s="732"/>
      <c r="CX117" s="732"/>
      <c r="CY117" s="732"/>
      <c r="CZ117" s="732"/>
      <c r="DA117" s="732"/>
      <c r="DB117" s="732"/>
      <c r="DC117" s="732"/>
      <c r="DD117" s="732"/>
      <c r="DE117" s="732"/>
      <c r="DF117" s="732"/>
      <c r="DG117" s="732"/>
      <c r="DH117" s="732"/>
      <c r="DI117" s="732"/>
      <c r="DJ117" s="732"/>
      <c r="DK117" s="732"/>
      <c r="DL117" s="732"/>
      <c r="DM117" s="732"/>
      <c r="DN117" s="732"/>
      <c r="DO117" s="732"/>
      <c r="DP117" s="732"/>
      <c r="DQ117" s="732"/>
      <c r="DR117" s="732"/>
      <c r="DS117" s="732"/>
      <c r="DT117" s="732"/>
      <c r="DU117" s="732"/>
      <c r="DV117" s="732"/>
      <c r="DW117" s="732"/>
      <c r="DX117" s="732"/>
      <c r="DY117" s="732"/>
      <c r="DZ117" s="732"/>
      <c r="EA117" s="732"/>
      <c r="EB117" s="732"/>
      <c r="EC117" s="732"/>
      <c r="ED117" s="732"/>
      <c r="EE117" s="732"/>
      <c r="EF117" s="732"/>
      <c r="EG117" s="732"/>
      <c r="EH117" s="732"/>
      <c r="EI117" s="732"/>
      <c r="EJ117" s="732"/>
      <c r="EK117" s="732"/>
      <c r="EL117" s="732"/>
      <c r="EM117" s="732"/>
      <c r="EN117" s="732"/>
      <c r="EO117" s="732"/>
      <c r="EP117" s="732"/>
      <c r="EQ117" s="732"/>
      <c r="ER117" s="732"/>
      <c r="ES117" s="732"/>
      <c r="ET117" s="732"/>
      <c r="EU117" s="732"/>
      <c r="EV117" s="732"/>
      <c r="EW117" s="732"/>
      <c r="EX117" s="732"/>
      <c r="EY117" s="732"/>
      <c r="EZ117" s="732"/>
      <c r="FA117" s="732"/>
      <c r="FB117" s="732"/>
      <c r="FC117" s="732"/>
      <c r="FD117" s="732"/>
      <c r="FE117" s="732"/>
      <c r="FF117" s="732"/>
      <c r="FG117" s="732"/>
      <c r="FH117" s="732"/>
      <c r="FI117" s="732"/>
      <c r="FJ117" s="732"/>
      <c r="FK117" s="732"/>
      <c r="FL117" s="732"/>
      <c r="FM117" s="732"/>
      <c r="FN117" s="732"/>
      <c r="FO117" s="732"/>
      <c r="FP117" s="732"/>
      <c r="FQ117" s="732"/>
      <c r="FR117" s="732"/>
      <c r="FS117" s="732"/>
      <c r="FT117" s="732"/>
      <c r="FU117" s="732"/>
      <c r="FV117" s="732"/>
      <c r="FW117" s="732"/>
      <c r="FX117" s="732"/>
      <c r="FY117" s="732"/>
      <c r="FZ117" s="732"/>
      <c r="GA117" s="732"/>
      <c r="GB117" s="732"/>
      <c r="GC117" s="732"/>
      <c r="GD117" s="732"/>
      <c r="GE117" s="732"/>
      <c r="GF117" s="732"/>
      <c r="GG117" s="732"/>
      <c r="GH117" s="732"/>
      <c r="GI117" s="732"/>
      <c r="GJ117" s="732"/>
      <c r="GK117" s="732"/>
      <c r="GL117" s="732"/>
      <c r="GM117" s="732"/>
      <c r="GN117" s="732"/>
      <c r="GO117" s="732"/>
      <c r="GP117" s="732"/>
      <c r="GQ117" s="732"/>
      <c r="GR117" s="732"/>
      <c r="GS117" s="732"/>
      <c r="GT117" s="732"/>
      <c r="GU117" s="732"/>
      <c r="GV117" s="732"/>
      <c r="GW117" s="732"/>
      <c r="GX117" s="732"/>
      <c r="GY117" s="732"/>
      <c r="GZ117" s="732"/>
      <c r="HA117" s="732"/>
      <c r="HB117" s="732"/>
      <c r="HC117" s="732"/>
      <c r="HD117" s="732"/>
      <c r="HE117" s="732"/>
      <c r="HF117" s="732"/>
      <c r="HG117" s="732"/>
      <c r="HH117" s="732"/>
      <c r="HI117" s="732"/>
      <c r="HJ117" s="732"/>
      <c r="HK117" s="732"/>
      <c r="HL117" s="732"/>
      <c r="HM117" s="732"/>
      <c r="HN117" s="732"/>
      <c r="HO117" s="732"/>
      <c r="HP117" s="732"/>
      <c r="HQ117" s="732"/>
      <c r="HR117" s="732"/>
      <c r="HS117" s="732"/>
      <c r="HT117" s="732"/>
      <c r="HU117" s="732"/>
      <c r="HV117" s="732"/>
      <c r="HW117" s="732"/>
      <c r="HX117" s="732"/>
      <c r="HY117" s="732"/>
      <c r="HZ117" s="732"/>
      <c r="IA117" s="732"/>
      <c r="IB117" s="732"/>
      <c r="IC117" s="732"/>
      <c r="ID117" s="732"/>
      <c r="IE117" s="732"/>
      <c r="IF117" s="732"/>
      <c r="IG117" s="732"/>
      <c r="IH117" s="732"/>
      <c r="II117" s="732"/>
      <c r="IJ117" s="732"/>
      <c r="IK117" s="732"/>
      <c r="IL117" s="732"/>
      <c r="IM117" s="732"/>
      <c r="IN117" s="732"/>
      <c r="IO117" s="732"/>
      <c r="IP117" s="732"/>
      <c r="IQ117" s="732"/>
      <c r="IR117" s="732"/>
      <c r="IS117" s="732"/>
    </row>
    <row r="118" s="563" customFormat="1" ht="15" spans="1:253">
      <c r="A118" s="719" t="s">
        <v>198</v>
      </c>
      <c r="B118" s="657" t="s">
        <v>199</v>
      </c>
      <c r="C118" s="698" t="s">
        <v>129</v>
      </c>
      <c r="D118" s="716" t="s">
        <v>69</v>
      </c>
      <c r="E118" s="720">
        <f>'PB VI - Memorial'!D120</f>
        <v>209.55</v>
      </c>
      <c r="F118" s="694">
        <v>6.44</v>
      </c>
      <c r="G118" s="694">
        <f t="shared" si="16"/>
        <v>1349.5</v>
      </c>
      <c r="H118" s="711"/>
      <c r="I118" s="711"/>
      <c r="J118" s="711"/>
      <c r="K118" s="711"/>
      <c r="L118" s="711"/>
      <c r="M118" s="695">
        <f t="shared" si="14"/>
        <v>997182.95</v>
      </c>
      <c r="N118" s="729"/>
      <c r="O118" s="729"/>
      <c r="P118" s="729"/>
      <c r="Q118" s="729"/>
      <c r="R118" s="729"/>
      <c r="S118" s="729"/>
      <c r="T118" s="729"/>
      <c r="U118" s="729"/>
      <c r="V118" s="729"/>
      <c r="W118" s="729"/>
      <c r="X118" s="729"/>
      <c r="Y118" s="729"/>
      <c r="Z118" s="729"/>
      <c r="AA118" s="729"/>
      <c r="AB118" s="729"/>
      <c r="AC118" s="729"/>
      <c r="AD118" s="729"/>
      <c r="AE118" s="729"/>
      <c r="AF118" s="729"/>
      <c r="AG118" s="729"/>
      <c r="AH118" s="729"/>
      <c r="AI118" s="729"/>
      <c r="AJ118" s="729"/>
      <c r="AK118" s="729"/>
      <c r="AL118" s="729"/>
      <c r="AM118" s="729"/>
      <c r="AN118" s="729"/>
      <c r="AO118" s="729"/>
      <c r="AP118" s="729"/>
      <c r="AQ118" s="729"/>
      <c r="AR118" s="729"/>
      <c r="AS118" s="729"/>
      <c r="AT118" s="729"/>
      <c r="AU118" s="729"/>
      <c r="AV118" s="729"/>
      <c r="AW118" s="729"/>
      <c r="AX118" s="729"/>
      <c r="AY118" s="729"/>
      <c r="AZ118" s="729"/>
      <c r="BA118" s="729"/>
      <c r="BB118" s="729"/>
      <c r="BC118" s="729"/>
      <c r="BD118" s="729"/>
      <c r="BE118" s="729"/>
      <c r="BF118" s="729"/>
      <c r="BG118" s="729"/>
      <c r="BH118" s="729"/>
      <c r="BI118" s="729"/>
      <c r="BJ118" s="729"/>
      <c r="BK118" s="729"/>
      <c r="BL118" s="729"/>
      <c r="BM118" s="729"/>
      <c r="BN118" s="729"/>
      <c r="BO118" s="729"/>
      <c r="BP118" s="729"/>
      <c r="BQ118" s="729"/>
      <c r="BR118" s="729"/>
      <c r="BS118" s="729"/>
      <c r="BT118" s="729"/>
      <c r="BU118" s="729"/>
      <c r="BV118" s="729"/>
      <c r="BW118" s="732"/>
      <c r="BX118" s="732"/>
      <c r="BY118" s="732"/>
      <c r="BZ118" s="732"/>
      <c r="CA118" s="732"/>
      <c r="CB118" s="732"/>
      <c r="CC118" s="732"/>
      <c r="CD118" s="732"/>
      <c r="CE118" s="732"/>
      <c r="CF118" s="732"/>
      <c r="CG118" s="732"/>
      <c r="CH118" s="732"/>
      <c r="CI118" s="732"/>
      <c r="CJ118" s="732"/>
      <c r="CK118" s="732"/>
      <c r="CL118" s="732"/>
      <c r="CM118" s="732"/>
      <c r="CN118" s="732"/>
      <c r="CO118" s="732"/>
      <c r="CP118" s="732"/>
      <c r="CQ118" s="732"/>
      <c r="CR118" s="732"/>
      <c r="CS118" s="732"/>
      <c r="CT118" s="732"/>
      <c r="CU118" s="732"/>
      <c r="CV118" s="732"/>
      <c r="CW118" s="732"/>
      <c r="CX118" s="732"/>
      <c r="CY118" s="732"/>
      <c r="CZ118" s="732"/>
      <c r="DA118" s="732"/>
      <c r="DB118" s="732"/>
      <c r="DC118" s="732"/>
      <c r="DD118" s="732"/>
      <c r="DE118" s="732"/>
      <c r="DF118" s="732"/>
      <c r="DG118" s="732"/>
      <c r="DH118" s="732"/>
      <c r="DI118" s="732"/>
      <c r="DJ118" s="732"/>
      <c r="DK118" s="732"/>
      <c r="DL118" s="732"/>
      <c r="DM118" s="732"/>
      <c r="DN118" s="732"/>
      <c r="DO118" s="732"/>
      <c r="DP118" s="732"/>
      <c r="DQ118" s="732"/>
      <c r="DR118" s="732"/>
      <c r="DS118" s="732"/>
      <c r="DT118" s="732"/>
      <c r="DU118" s="732"/>
      <c r="DV118" s="732"/>
      <c r="DW118" s="732"/>
      <c r="DX118" s="732"/>
      <c r="DY118" s="732"/>
      <c r="DZ118" s="732"/>
      <c r="EA118" s="732"/>
      <c r="EB118" s="732"/>
      <c r="EC118" s="732"/>
      <c r="ED118" s="732"/>
      <c r="EE118" s="732"/>
      <c r="EF118" s="732"/>
      <c r="EG118" s="732"/>
      <c r="EH118" s="732"/>
      <c r="EI118" s="732"/>
      <c r="EJ118" s="732"/>
      <c r="EK118" s="732"/>
      <c r="EL118" s="732"/>
      <c r="EM118" s="732"/>
      <c r="EN118" s="732"/>
      <c r="EO118" s="732"/>
      <c r="EP118" s="732"/>
      <c r="EQ118" s="732"/>
      <c r="ER118" s="732"/>
      <c r="ES118" s="732"/>
      <c r="ET118" s="732"/>
      <c r="EU118" s="732"/>
      <c r="EV118" s="732"/>
      <c r="EW118" s="732"/>
      <c r="EX118" s="732"/>
      <c r="EY118" s="732"/>
      <c r="EZ118" s="732"/>
      <c r="FA118" s="732"/>
      <c r="FB118" s="732"/>
      <c r="FC118" s="732"/>
      <c r="FD118" s="732"/>
      <c r="FE118" s="732"/>
      <c r="FF118" s="732"/>
      <c r="FG118" s="732"/>
      <c r="FH118" s="732"/>
      <c r="FI118" s="732"/>
      <c r="FJ118" s="732"/>
      <c r="FK118" s="732"/>
      <c r="FL118" s="732"/>
      <c r="FM118" s="732"/>
      <c r="FN118" s="732"/>
      <c r="FO118" s="732"/>
      <c r="FP118" s="732"/>
      <c r="FQ118" s="732"/>
      <c r="FR118" s="732"/>
      <c r="FS118" s="732"/>
      <c r="FT118" s="732"/>
      <c r="FU118" s="732"/>
      <c r="FV118" s="732"/>
      <c r="FW118" s="732"/>
      <c r="FX118" s="732"/>
      <c r="FY118" s="732"/>
      <c r="FZ118" s="732"/>
      <c r="GA118" s="732"/>
      <c r="GB118" s="732"/>
      <c r="GC118" s="732"/>
      <c r="GD118" s="732"/>
      <c r="GE118" s="732"/>
      <c r="GF118" s="732"/>
      <c r="GG118" s="732"/>
      <c r="GH118" s="732"/>
      <c r="GI118" s="732"/>
      <c r="GJ118" s="732"/>
      <c r="GK118" s="732"/>
      <c r="GL118" s="732"/>
      <c r="GM118" s="732"/>
      <c r="GN118" s="732"/>
      <c r="GO118" s="732"/>
      <c r="GP118" s="732"/>
      <c r="GQ118" s="732"/>
      <c r="GR118" s="732"/>
      <c r="GS118" s="732"/>
      <c r="GT118" s="732"/>
      <c r="GU118" s="732"/>
      <c r="GV118" s="732"/>
      <c r="GW118" s="732"/>
      <c r="GX118" s="732"/>
      <c r="GY118" s="732"/>
      <c r="GZ118" s="732"/>
      <c r="HA118" s="732"/>
      <c r="HB118" s="732"/>
      <c r="HC118" s="732"/>
      <c r="HD118" s="732"/>
      <c r="HE118" s="732"/>
      <c r="HF118" s="732"/>
      <c r="HG118" s="732"/>
      <c r="HH118" s="732"/>
      <c r="HI118" s="732"/>
      <c r="HJ118" s="732"/>
      <c r="HK118" s="732"/>
      <c r="HL118" s="732"/>
      <c r="HM118" s="732"/>
      <c r="HN118" s="732"/>
      <c r="HO118" s="732"/>
      <c r="HP118" s="732"/>
      <c r="HQ118" s="732"/>
      <c r="HR118" s="732"/>
      <c r="HS118" s="732"/>
      <c r="HT118" s="732"/>
      <c r="HU118" s="732"/>
      <c r="HV118" s="732"/>
      <c r="HW118" s="732"/>
      <c r="HX118" s="732"/>
      <c r="HY118" s="732"/>
      <c r="HZ118" s="732"/>
      <c r="IA118" s="732"/>
      <c r="IB118" s="732"/>
      <c r="IC118" s="732"/>
      <c r="ID118" s="732"/>
      <c r="IE118" s="732"/>
      <c r="IF118" s="732"/>
      <c r="IG118" s="732"/>
      <c r="IH118" s="732"/>
      <c r="II118" s="732"/>
      <c r="IJ118" s="732"/>
      <c r="IK118" s="732"/>
      <c r="IL118" s="732"/>
      <c r="IM118" s="732"/>
      <c r="IN118" s="732"/>
      <c r="IO118" s="732"/>
      <c r="IP118" s="732"/>
      <c r="IQ118" s="732"/>
      <c r="IR118" s="732"/>
      <c r="IS118" s="732"/>
    </row>
    <row r="119" s="563" customFormat="1" ht="15" spans="1:253">
      <c r="A119" s="719" t="s">
        <v>200</v>
      </c>
      <c r="B119" s="657" t="s">
        <v>201</v>
      </c>
      <c r="C119" s="698" t="s">
        <v>132</v>
      </c>
      <c r="D119" s="716" t="s">
        <v>69</v>
      </c>
      <c r="E119" s="720">
        <f>'PB VI - Memorial'!E120</f>
        <v>209.55</v>
      </c>
      <c r="F119" s="694">
        <v>5.55</v>
      </c>
      <c r="G119" s="694">
        <f t="shared" ref="G119" si="17">ROUND(E119*F119,2)</f>
        <v>1163</v>
      </c>
      <c r="H119" s="711"/>
      <c r="I119" s="711"/>
      <c r="J119" s="711"/>
      <c r="K119" s="711"/>
      <c r="L119" s="711"/>
      <c r="M119" s="695">
        <f t="shared" si="14"/>
        <v>997182.95</v>
      </c>
      <c r="N119" s="729"/>
      <c r="O119" s="729"/>
      <c r="P119" s="729"/>
      <c r="Q119" s="729"/>
      <c r="R119" s="729"/>
      <c r="S119" s="729"/>
      <c r="T119" s="729"/>
      <c r="U119" s="729"/>
      <c r="V119" s="729"/>
      <c r="W119" s="729"/>
      <c r="X119" s="729"/>
      <c r="Y119" s="729"/>
      <c r="Z119" s="729"/>
      <c r="AA119" s="729"/>
      <c r="AB119" s="729"/>
      <c r="AC119" s="729"/>
      <c r="AD119" s="729"/>
      <c r="AE119" s="729"/>
      <c r="AF119" s="729"/>
      <c r="AG119" s="729"/>
      <c r="AH119" s="729"/>
      <c r="AI119" s="729"/>
      <c r="AJ119" s="729"/>
      <c r="AK119" s="729"/>
      <c r="AL119" s="729"/>
      <c r="AM119" s="729"/>
      <c r="AN119" s="729"/>
      <c r="AO119" s="729"/>
      <c r="AP119" s="729"/>
      <c r="AQ119" s="729"/>
      <c r="AR119" s="729"/>
      <c r="AS119" s="729"/>
      <c r="AT119" s="729"/>
      <c r="AU119" s="729"/>
      <c r="AV119" s="729"/>
      <c r="AW119" s="729"/>
      <c r="AX119" s="729"/>
      <c r="AY119" s="729"/>
      <c r="AZ119" s="729"/>
      <c r="BA119" s="729"/>
      <c r="BB119" s="729"/>
      <c r="BC119" s="729"/>
      <c r="BD119" s="729"/>
      <c r="BE119" s="729"/>
      <c r="BF119" s="729"/>
      <c r="BG119" s="729"/>
      <c r="BH119" s="729"/>
      <c r="BI119" s="729"/>
      <c r="BJ119" s="729"/>
      <c r="BK119" s="729"/>
      <c r="BL119" s="729"/>
      <c r="BM119" s="729"/>
      <c r="BN119" s="729"/>
      <c r="BO119" s="729"/>
      <c r="BP119" s="729"/>
      <c r="BQ119" s="729"/>
      <c r="BR119" s="729"/>
      <c r="BS119" s="729"/>
      <c r="BT119" s="729"/>
      <c r="BU119" s="729"/>
      <c r="BV119" s="729"/>
      <c r="BW119" s="732"/>
      <c r="BX119" s="732"/>
      <c r="BY119" s="732"/>
      <c r="BZ119" s="732"/>
      <c r="CA119" s="732"/>
      <c r="CB119" s="732"/>
      <c r="CC119" s="732"/>
      <c r="CD119" s="732"/>
      <c r="CE119" s="732"/>
      <c r="CF119" s="732"/>
      <c r="CG119" s="732"/>
      <c r="CH119" s="732"/>
      <c r="CI119" s="732"/>
      <c r="CJ119" s="732"/>
      <c r="CK119" s="732"/>
      <c r="CL119" s="732"/>
      <c r="CM119" s="732"/>
      <c r="CN119" s="732"/>
      <c r="CO119" s="732"/>
      <c r="CP119" s="732"/>
      <c r="CQ119" s="732"/>
      <c r="CR119" s="732"/>
      <c r="CS119" s="732"/>
      <c r="CT119" s="732"/>
      <c r="CU119" s="732"/>
      <c r="CV119" s="732"/>
      <c r="CW119" s="732"/>
      <c r="CX119" s="732"/>
      <c r="CY119" s="732"/>
      <c r="CZ119" s="732"/>
      <c r="DA119" s="732"/>
      <c r="DB119" s="732"/>
      <c r="DC119" s="732"/>
      <c r="DD119" s="732"/>
      <c r="DE119" s="732"/>
      <c r="DF119" s="732"/>
      <c r="DG119" s="732"/>
      <c r="DH119" s="732"/>
      <c r="DI119" s="732"/>
      <c r="DJ119" s="732"/>
      <c r="DK119" s="732"/>
      <c r="DL119" s="732"/>
      <c r="DM119" s="732"/>
      <c r="DN119" s="732"/>
      <c r="DO119" s="732"/>
      <c r="DP119" s="732"/>
      <c r="DQ119" s="732"/>
      <c r="DR119" s="732"/>
      <c r="DS119" s="732"/>
      <c r="DT119" s="732"/>
      <c r="DU119" s="732"/>
      <c r="DV119" s="732"/>
      <c r="DW119" s="732"/>
      <c r="DX119" s="732"/>
      <c r="DY119" s="732"/>
      <c r="DZ119" s="732"/>
      <c r="EA119" s="732"/>
      <c r="EB119" s="732"/>
      <c r="EC119" s="732"/>
      <c r="ED119" s="732"/>
      <c r="EE119" s="732"/>
      <c r="EF119" s="732"/>
      <c r="EG119" s="732"/>
      <c r="EH119" s="732"/>
      <c r="EI119" s="732"/>
      <c r="EJ119" s="732"/>
      <c r="EK119" s="732"/>
      <c r="EL119" s="732"/>
      <c r="EM119" s="732"/>
      <c r="EN119" s="732"/>
      <c r="EO119" s="732"/>
      <c r="EP119" s="732"/>
      <c r="EQ119" s="732"/>
      <c r="ER119" s="732"/>
      <c r="ES119" s="732"/>
      <c r="ET119" s="732"/>
      <c r="EU119" s="732"/>
      <c r="EV119" s="732"/>
      <c r="EW119" s="732"/>
      <c r="EX119" s="732"/>
      <c r="EY119" s="732"/>
      <c r="EZ119" s="732"/>
      <c r="FA119" s="732"/>
      <c r="FB119" s="732"/>
      <c r="FC119" s="732"/>
      <c r="FD119" s="732"/>
      <c r="FE119" s="732"/>
      <c r="FF119" s="732"/>
      <c r="FG119" s="732"/>
      <c r="FH119" s="732"/>
      <c r="FI119" s="732"/>
      <c r="FJ119" s="732"/>
      <c r="FK119" s="732"/>
      <c r="FL119" s="732"/>
      <c r="FM119" s="732"/>
      <c r="FN119" s="732"/>
      <c r="FO119" s="732"/>
      <c r="FP119" s="732"/>
      <c r="FQ119" s="732"/>
      <c r="FR119" s="732"/>
      <c r="FS119" s="732"/>
      <c r="FT119" s="732"/>
      <c r="FU119" s="732"/>
      <c r="FV119" s="732"/>
      <c r="FW119" s="732"/>
      <c r="FX119" s="732"/>
      <c r="FY119" s="732"/>
      <c r="FZ119" s="732"/>
      <c r="GA119" s="732"/>
      <c r="GB119" s="732"/>
      <c r="GC119" s="732"/>
      <c r="GD119" s="732"/>
      <c r="GE119" s="732"/>
      <c r="GF119" s="732"/>
      <c r="GG119" s="732"/>
      <c r="GH119" s="732"/>
      <c r="GI119" s="732"/>
      <c r="GJ119" s="732"/>
      <c r="GK119" s="732"/>
      <c r="GL119" s="732"/>
      <c r="GM119" s="732"/>
      <c r="GN119" s="732"/>
      <c r="GO119" s="732"/>
      <c r="GP119" s="732"/>
      <c r="GQ119" s="732"/>
      <c r="GR119" s="732"/>
      <c r="GS119" s="732"/>
      <c r="GT119" s="732"/>
      <c r="GU119" s="732"/>
      <c r="GV119" s="732"/>
      <c r="GW119" s="732"/>
      <c r="GX119" s="732"/>
      <c r="GY119" s="732"/>
      <c r="GZ119" s="732"/>
      <c r="HA119" s="732"/>
      <c r="HB119" s="732"/>
      <c r="HC119" s="732"/>
      <c r="HD119" s="732"/>
      <c r="HE119" s="732"/>
      <c r="HF119" s="732"/>
      <c r="HG119" s="732"/>
      <c r="HH119" s="732"/>
      <c r="HI119" s="732"/>
      <c r="HJ119" s="732"/>
      <c r="HK119" s="732"/>
      <c r="HL119" s="732"/>
      <c r="HM119" s="732"/>
      <c r="HN119" s="732"/>
      <c r="HO119" s="732"/>
      <c r="HP119" s="732"/>
      <c r="HQ119" s="732"/>
      <c r="HR119" s="732"/>
      <c r="HS119" s="732"/>
      <c r="HT119" s="732"/>
      <c r="HU119" s="732"/>
      <c r="HV119" s="732"/>
      <c r="HW119" s="732"/>
      <c r="HX119" s="732"/>
      <c r="HY119" s="732"/>
      <c r="HZ119" s="732"/>
      <c r="IA119" s="732"/>
      <c r="IB119" s="732"/>
      <c r="IC119" s="732"/>
      <c r="ID119" s="732"/>
      <c r="IE119" s="732"/>
      <c r="IF119" s="732"/>
      <c r="IG119" s="732"/>
      <c r="IH119" s="732"/>
      <c r="II119" s="732"/>
      <c r="IJ119" s="732"/>
      <c r="IK119" s="732"/>
      <c r="IL119" s="732"/>
      <c r="IM119" s="732"/>
      <c r="IN119" s="732"/>
      <c r="IO119" s="732"/>
      <c r="IP119" s="732"/>
      <c r="IQ119" s="732"/>
      <c r="IR119" s="732"/>
      <c r="IS119" s="732"/>
    </row>
    <row r="120" s="563" customFormat="1" ht="15" spans="1:253">
      <c r="A120" s="719" t="s">
        <v>202</v>
      </c>
      <c r="B120" s="657" t="s">
        <v>203</v>
      </c>
      <c r="C120" s="698" t="s">
        <v>162</v>
      </c>
      <c r="D120" s="716" t="s">
        <v>69</v>
      </c>
      <c r="E120" s="720">
        <f>'PB VI - Memorial'!G120</f>
        <v>887.55</v>
      </c>
      <c r="F120" s="694">
        <v>9.74</v>
      </c>
      <c r="G120" s="694">
        <f t="shared" ref="G120" si="18">ROUND(E120*F120,2)</f>
        <v>8644.74</v>
      </c>
      <c r="H120" s="711"/>
      <c r="I120" s="711"/>
      <c r="J120" s="711"/>
      <c r="K120" s="711"/>
      <c r="L120" s="711"/>
      <c r="M120" s="695">
        <f t="shared" si="14"/>
        <v>997182.95</v>
      </c>
      <c r="N120" s="729"/>
      <c r="O120" s="729"/>
      <c r="P120" s="729"/>
      <c r="Q120" s="729"/>
      <c r="R120" s="729"/>
      <c r="S120" s="729"/>
      <c r="T120" s="729"/>
      <c r="U120" s="729"/>
      <c r="V120" s="729"/>
      <c r="W120" s="729"/>
      <c r="X120" s="729"/>
      <c r="Y120" s="729"/>
      <c r="Z120" s="729"/>
      <c r="AA120" s="729"/>
      <c r="AB120" s="729"/>
      <c r="AC120" s="729"/>
      <c r="AD120" s="729"/>
      <c r="AE120" s="729"/>
      <c r="AF120" s="729"/>
      <c r="AG120" s="729"/>
      <c r="AH120" s="729"/>
      <c r="AI120" s="729"/>
      <c r="AJ120" s="729"/>
      <c r="AK120" s="729"/>
      <c r="AL120" s="729"/>
      <c r="AM120" s="729"/>
      <c r="AN120" s="729"/>
      <c r="AO120" s="729"/>
      <c r="AP120" s="729"/>
      <c r="AQ120" s="729"/>
      <c r="AR120" s="729"/>
      <c r="AS120" s="729"/>
      <c r="AT120" s="729"/>
      <c r="AU120" s="729"/>
      <c r="AV120" s="729"/>
      <c r="AW120" s="729"/>
      <c r="AX120" s="729"/>
      <c r="AY120" s="729"/>
      <c r="AZ120" s="729"/>
      <c r="BA120" s="729"/>
      <c r="BB120" s="729"/>
      <c r="BC120" s="729"/>
      <c r="BD120" s="729"/>
      <c r="BE120" s="729"/>
      <c r="BF120" s="729"/>
      <c r="BG120" s="729"/>
      <c r="BH120" s="729"/>
      <c r="BI120" s="729"/>
      <c r="BJ120" s="729"/>
      <c r="BK120" s="729"/>
      <c r="BL120" s="729"/>
      <c r="BM120" s="729"/>
      <c r="BN120" s="729"/>
      <c r="BO120" s="729"/>
      <c r="BP120" s="729"/>
      <c r="BQ120" s="729"/>
      <c r="BR120" s="729"/>
      <c r="BS120" s="729"/>
      <c r="BT120" s="729"/>
      <c r="BU120" s="729"/>
      <c r="BV120" s="729"/>
      <c r="BW120" s="732"/>
      <c r="BX120" s="732"/>
      <c r="BY120" s="732"/>
      <c r="BZ120" s="732"/>
      <c r="CA120" s="732"/>
      <c r="CB120" s="732"/>
      <c r="CC120" s="732"/>
      <c r="CD120" s="732"/>
      <c r="CE120" s="732"/>
      <c r="CF120" s="732"/>
      <c r="CG120" s="732"/>
      <c r="CH120" s="732"/>
      <c r="CI120" s="732"/>
      <c r="CJ120" s="732"/>
      <c r="CK120" s="732"/>
      <c r="CL120" s="732"/>
      <c r="CM120" s="732"/>
      <c r="CN120" s="732"/>
      <c r="CO120" s="732"/>
      <c r="CP120" s="732"/>
      <c r="CQ120" s="732"/>
      <c r="CR120" s="732"/>
      <c r="CS120" s="732"/>
      <c r="CT120" s="732"/>
      <c r="CU120" s="732"/>
      <c r="CV120" s="732"/>
      <c r="CW120" s="732"/>
      <c r="CX120" s="732"/>
      <c r="CY120" s="732"/>
      <c r="CZ120" s="732"/>
      <c r="DA120" s="732"/>
      <c r="DB120" s="732"/>
      <c r="DC120" s="732"/>
      <c r="DD120" s="732"/>
      <c r="DE120" s="732"/>
      <c r="DF120" s="732"/>
      <c r="DG120" s="732"/>
      <c r="DH120" s="732"/>
      <c r="DI120" s="732"/>
      <c r="DJ120" s="732"/>
      <c r="DK120" s="732"/>
      <c r="DL120" s="732"/>
      <c r="DM120" s="732"/>
      <c r="DN120" s="732"/>
      <c r="DO120" s="732"/>
      <c r="DP120" s="732"/>
      <c r="DQ120" s="732"/>
      <c r="DR120" s="732"/>
      <c r="DS120" s="732"/>
      <c r="DT120" s="732"/>
      <c r="DU120" s="732"/>
      <c r="DV120" s="732"/>
      <c r="DW120" s="732"/>
      <c r="DX120" s="732"/>
      <c r="DY120" s="732"/>
      <c r="DZ120" s="732"/>
      <c r="EA120" s="732"/>
      <c r="EB120" s="732"/>
      <c r="EC120" s="732"/>
      <c r="ED120" s="732"/>
      <c r="EE120" s="732"/>
      <c r="EF120" s="732"/>
      <c r="EG120" s="732"/>
      <c r="EH120" s="732"/>
      <c r="EI120" s="732"/>
      <c r="EJ120" s="732"/>
      <c r="EK120" s="732"/>
      <c r="EL120" s="732"/>
      <c r="EM120" s="732"/>
      <c r="EN120" s="732"/>
      <c r="EO120" s="732"/>
      <c r="EP120" s="732"/>
      <c r="EQ120" s="732"/>
      <c r="ER120" s="732"/>
      <c r="ES120" s="732"/>
      <c r="ET120" s="732"/>
      <c r="EU120" s="732"/>
      <c r="EV120" s="732"/>
      <c r="EW120" s="732"/>
      <c r="EX120" s="732"/>
      <c r="EY120" s="732"/>
      <c r="EZ120" s="732"/>
      <c r="FA120" s="732"/>
      <c r="FB120" s="732"/>
      <c r="FC120" s="732"/>
      <c r="FD120" s="732"/>
      <c r="FE120" s="732"/>
      <c r="FF120" s="732"/>
      <c r="FG120" s="732"/>
      <c r="FH120" s="732"/>
      <c r="FI120" s="732"/>
      <c r="FJ120" s="732"/>
      <c r="FK120" s="732"/>
      <c r="FL120" s="732"/>
      <c r="FM120" s="732"/>
      <c r="FN120" s="732"/>
      <c r="FO120" s="732"/>
      <c r="FP120" s="732"/>
      <c r="FQ120" s="732"/>
      <c r="FR120" s="732"/>
      <c r="FS120" s="732"/>
      <c r="FT120" s="732"/>
      <c r="FU120" s="732"/>
      <c r="FV120" s="732"/>
      <c r="FW120" s="732"/>
      <c r="FX120" s="732"/>
      <c r="FY120" s="732"/>
      <c r="FZ120" s="732"/>
      <c r="GA120" s="732"/>
      <c r="GB120" s="732"/>
      <c r="GC120" s="732"/>
      <c r="GD120" s="732"/>
      <c r="GE120" s="732"/>
      <c r="GF120" s="732"/>
      <c r="GG120" s="732"/>
      <c r="GH120" s="732"/>
      <c r="GI120" s="732"/>
      <c r="GJ120" s="732"/>
      <c r="GK120" s="732"/>
      <c r="GL120" s="732"/>
      <c r="GM120" s="732"/>
      <c r="GN120" s="732"/>
      <c r="GO120" s="732"/>
      <c r="GP120" s="732"/>
      <c r="GQ120" s="732"/>
      <c r="GR120" s="732"/>
      <c r="GS120" s="732"/>
      <c r="GT120" s="732"/>
      <c r="GU120" s="732"/>
      <c r="GV120" s="732"/>
      <c r="GW120" s="732"/>
      <c r="GX120" s="732"/>
      <c r="GY120" s="732"/>
      <c r="GZ120" s="732"/>
      <c r="HA120" s="732"/>
      <c r="HB120" s="732"/>
      <c r="HC120" s="732"/>
      <c r="HD120" s="732"/>
      <c r="HE120" s="732"/>
      <c r="HF120" s="732"/>
      <c r="HG120" s="732"/>
      <c r="HH120" s="732"/>
      <c r="HI120" s="732"/>
      <c r="HJ120" s="732"/>
      <c r="HK120" s="732"/>
      <c r="HL120" s="732"/>
      <c r="HM120" s="732"/>
      <c r="HN120" s="732"/>
      <c r="HO120" s="732"/>
      <c r="HP120" s="732"/>
      <c r="HQ120" s="732"/>
      <c r="HR120" s="732"/>
      <c r="HS120" s="732"/>
      <c r="HT120" s="732"/>
      <c r="HU120" s="732"/>
      <c r="HV120" s="732"/>
      <c r="HW120" s="732"/>
      <c r="HX120" s="732"/>
      <c r="HY120" s="732"/>
      <c r="HZ120" s="732"/>
      <c r="IA120" s="732"/>
      <c r="IB120" s="732"/>
      <c r="IC120" s="732"/>
      <c r="ID120" s="732"/>
      <c r="IE120" s="732"/>
      <c r="IF120" s="732"/>
      <c r="IG120" s="732"/>
      <c r="IH120" s="732"/>
      <c r="II120" s="732"/>
      <c r="IJ120" s="732"/>
      <c r="IK120" s="732"/>
      <c r="IL120" s="732"/>
      <c r="IM120" s="732"/>
      <c r="IN120" s="732"/>
      <c r="IO120" s="732"/>
      <c r="IP120" s="732"/>
      <c r="IQ120" s="732"/>
      <c r="IR120" s="732"/>
      <c r="IS120" s="732"/>
    </row>
    <row r="121" s="563" customFormat="1" ht="15" spans="1:253">
      <c r="A121" s="719"/>
      <c r="B121" s="657"/>
      <c r="C121" s="698"/>
      <c r="D121" s="716"/>
      <c r="E121" s="720"/>
      <c r="F121" s="694"/>
      <c r="G121" s="694"/>
      <c r="H121" s="711"/>
      <c r="I121" s="711"/>
      <c r="J121" s="711"/>
      <c r="K121" s="711"/>
      <c r="L121" s="711"/>
      <c r="M121" s="695"/>
      <c r="N121" s="729"/>
      <c r="O121" s="729"/>
      <c r="P121" s="729"/>
      <c r="Q121" s="729"/>
      <c r="R121" s="729"/>
      <c r="S121" s="729"/>
      <c r="T121" s="729"/>
      <c r="U121" s="729"/>
      <c r="V121" s="729"/>
      <c r="W121" s="729"/>
      <c r="X121" s="729"/>
      <c r="Y121" s="729"/>
      <c r="Z121" s="729"/>
      <c r="AA121" s="729"/>
      <c r="AB121" s="729"/>
      <c r="AC121" s="729"/>
      <c r="AD121" s="729"/>
      <c r="AE121" s="729"/>
      <c r="AF121" s="729"/>
      <c r="AG121" s="729"/>
      <c r="AH121" s="729"/>
      <c r="AI121" s="729"/>
      <c r="AJ121" s="729"/>
      <c r="AK121" s="729"/>
      <c r="AL121" s="729"/>
      <c r="AM121" s="729"/>
      <c r="AN121" s="729"/>
      <c r="AO121" s="729"/>
      <c r="AP121" s="729"/>
      <c r="AQ121" s="729"/>
      <c r="AR121" s="729"/>
      <c r="AS121" s="729"/>
      <c r="AT121" s="729"/>
      <c r="AU121" s="729"/>
      <c r="AV121" s="729"/>
      <c r="AW121" s="729"/>
      <c r="AX121" s="729"/>
      <c r="AY121" s="729"/>
      <c r="AZ121" s="729"/>
      <c r="BA121" s="729"/>
      <c r="BB121" s="729"/>
      <c r="BC121" s="729"/>
      <c r="BD121" s="729"/>
      <c r="BE121" s="729"/>
      <c r="BF121" s="729"/>
      <c r="BG121" s="729"/>
      <c r="BH121" s="729"/>
      <c r="BI121" s="729"/>
      <c r="BJ121" s="729"/>
      <c r="BK121" s="729"/>
      <c r="BL121" s="729"/>
      <c r="BM121" s="729"/>
      <c r="BN121" s="729"/>
      <c r="BO121" s="729"/>
      <c r="BP121" s="729"/>
      <c r="BQ121" s="729"/>
      <c r="BR121" s="729"/>
      <c r="BS121" s="729"/>
      <c r="BT121" s="729"/>
      <c r="BU121" s="729"/>
      <c r="BV121" s="729"/>
      <c r="BW121" s="732"/>
      <c r="BX121" s="732"/>
      <c r="BY121" s="732"/>
      <c r="BZ121" s="732"/>
      <c r="CA121" s="732"/>
      <c r="CB121" s="732"/>
      <c r="CC121" s="732"/>
      <c r="CD121" s="732"/>
      <c r="CE121" s="732"/>
      <c r="CF121" s="732"/>
      <c r="CG121" s="732"/>
      <c r="CH121" s="732"/>
      <c r="CI121" s="732"/>
      <c r="CJ121" s="732"/>
      <c r="CK121" s="732"/>
      <c r="CL121" s="732"/>
      <c r="CM121" s="732"/>
      <c r="CN121" s="732"/>
      <c r="CO121" s="732"/>
      <c r="CP121" s="732"/>
      <c r="CQ121" s="732"/>
      <c r="CR121" s="732"/>
      <c r="CS121" s="732"/>
      <c r="CT121" s="732"/>
      <c r="CU121" s="732"/>
      <c r="CV121" s="732"/>
      <c r="CW121" s="732"/>
      <c r="CX121" s="732"/>
      <c r="CY121" s="732"/>
      <c r="CZ121" s="732"/>
      <c r="DA121" s="732"/>
      <c r="DB121" s="732"/>
      <c r="DC121" s="732"/>
      <c r="DD121" s="732"/>
      <c r="DE121" s="732"/>
      <c r="DF121" s="732"/>
      <c r="DG121" s="732"/>
      <c r="DH121" s="732"/>
      <c r="DI121" s="732"/>
      <c r="DJ121" s="732"/>
      <c r="DK121" s="732"/>
      <c r="DL121" s="732"/>
      <c r="DM121" s="732"/>
      <c r="DN121" s="732"/>
      <c r="DO121" s="732"/>
      <c r="DP121" s="732"/>
      <c r="DQ121" s="732"/>
      <c r="DR121" s="732"/>
      <c r="DS121" s="732"/>
      <c r="DT121" s="732"/>
      <c r="DU121" s="732"/>
      <c r="DV121" s="732"/>
      <c r="DW121" s="732"/>
      <c r="DX121" s="732"/>
      <c r="DY121" s="732"/>
      <c r="DZ121" s="732"/>
      <c r="EA121" s="732"/>
      <c r="EB121" s="732"/>
      <c r="EC121" s="732"/>
      <c r="ED121" s="732"/>
      <c r="EE121" s="732"/>
      <c r="EF121" s="732"/>
      <c r="EG121" s="732"/>
      <c r="EH121" s="732"/>
      <c r="EI121" s="732"/>
      <c r="EJ121" s="732"/>
      <c r="EK121" s="732"/>
      <c r="EL121" s="732"/>
      <c r="EM121" s="732"/>
      <c r="EN121" s="732"/>
      <c r="EO121" s="732"/>
      <c r="EP121" s="732"/>
      <c r="EQ121" s="732"/>
      <c r="ER121" s="732"/>
      <c r="ES121" s="732"/>
      <c r="ET121" s="732"/>
      <c r="EU121" s="732"/>
      <c r="EV121" s="732"/>
      <c r="EW121" s="732"/>
      <c r="EX121" s="732"/>
      <c r="EY121" s="732"/>
      <c r="EZ121" s="732"/>
      <c r="FA121" s="732"/>
      <c r="FB121" s="732"/>
      <c r="FC121" s="732"/>
      <c r="FD121" s="732"/>
      <c r="FE121" s="732"/>
      <c r="FF121" s="732"/>
      <c r="FG121" s="732"/>
      <c r="FH121" s="732"/>
      <c r="FI121" s="732"/>
      <c r="FJ121" s="732"/>
      <c r="FK121" s="732"/>
      <c r="FL121" s="732"/>
      <c r="FM121" s="732"/>
      <c r="FN121" s="732"/>
      <c r="FO121" s="732"/>
      <c r="FP121" s="732"/>
      <c r="FQ121" s="732"/>
      <c r="FR121" s="732"/>
      <c r="FS121" s="732"/>
      <c r="FT121" s="732"/>
      <c r="FU121" s="732"/>
      <c r="FV121" s="732"/>
      <c r="FW121" s="732"/>
      <c r="FX121" s="732"/>
      <c r="FY121" s="732"/>
      <c r="FZ121" s="732"/>
      <c r="GA121" s="732"/>
      <c r="GB121" s="732"/>
      <c r="GC121" s="732"/>
      <c r="GD121" s="732"/>
      <c r="GE121" s="732"/>
      <c r="GF121" s="732"/>
      <c r="GG121" s="732"/>
      <c r="GH121" s="732"/>
      <c r="GI121" s="732"/>
      <c r="GJ121" s="732"/>
      <c r="GK121" s="732"/>
      <c r="GL121" s="732"/>
      <c r="GM121" s="732"/>
      <c r="GN121" s="732"/>
      <c r="GO121" s="732"/>
      <c r="GP121" s="732"/>
      <c r="GQ121" s="732"/>
      <c r="GR121" s="732"/>
      <c r="GS121" s="732"/>
      <c r="GT121" s="732"/>
      <c r="GU121" s="732"/>
      <c r="GV121" s="732"/>
      <c r="GW121" s="732"/>
      <c r="GX121" s="732"/>
      <c r="GY121" s="732"/>
      <c r="GZ121" s="732"/>
      <c r="HA121" s="732"/>
      <c r="HB121" s="732"/>
      <c r="HC121" s="732"/>
      <c r="HD121" s="732"/>
      <c r="HE121" s="732"/>
      <c r="HF121" s="732"/>
      <c r="HG121" s="732"/>
      <c r="HH121" s="732"/>
      <c r="HI121" s="732"/>
      <c r="HJ121" s="732"/>
      <c r="HK121" s="732"/>
      <c r="HL121" s="732"/>
      <c r="HM121" s="732"/>
      <c r="HN121" s="732"/>
      <c r="HO121" s="732"/>
      <c r="HP121" s="732"/>
      <c r="HQ121" s="732"/>
      <c r="HR121" s="732"/>
      <c r="HS121" s="732"/>
      <c r="HT121" s="732"/>
      <c r="HU121" s="732"/>
      <c r="HV121" s="732"/>
      <c r="HW121" s="732"/>
      <c r="HX121" s="732"/>
      <c r="HY121" s="732"/>
      <c r="HZ121" s="732"/>
      <c r="IA121" s="732"/>
      <c r="IB121" s="732"/>
      <c r="IC121" s="732"/>
      <c r="ID121" s="732"/>
      <c r="IE121" s="732"/>
      <c r="IF121" s="732"/>
      <c r="IG121" s="732"/>
      <c r="IH121" s="732"/>
      <c r="II121" s="732"/>
      <c r="IJ121" s="732"/>
      <c r="IK121" s="732"/>
      <c r="IL121" s="732"/>
      <c r="IM121" s="732"/>
      <c r="IN121" s="732"/>
      <c r="IO121" s="732"/>
      <c r="IP121" s="732"/>
      <c r="IQ121" s="732"/>
      <c r="IR121" s="732"/>
      <c r="IS121" s="732"/>
    </row>
    <row r="122" s="563" customFormat="1" ht="15" spans="1:253">
      <c r="A122" s="721"/>
      <c r="B122" s="722" t="s">
        <v>204</v>
      </c>
      <c r="C122" s="723" t="s">
        <v>205</v>
      </c>
      <c r="D122" s="716"/>
      <c r="E122" s="720"/>
      <c r="F122" s="694"/>
      <c r="G122" s="694"/>
      <c r="H122" s="711"/>
      <c r="I122" s="711"/>
      <c r="J122" s="711"/>
      <c r="K122" s="711"/>
      <c r="L122" s="711"/>
      <c r="M122" s="695">
        <f t="shared" ref="M122:M127" si="19">$F$432</f>
        <v>997182.95</v>
      </c>
      <c r="N122" s="729"/>
      <c r="O122" s="729"/>
      <c r="P122" s="729"/>
      <c r="Q122" s="729"/>
      <c r="R122" s="729"/>
      <c r="S122" s="729"/>
      <c r="T122" s="729"/>
      <c r="U122" s="729"/>
      <c r="V122" s="729"/>
      <c r="W122" s="729"/>
      <c r="X122" s="729"/>
      <c r="Y122" s="729"/>
      <c r="Z122" s="729"/>
      <c r="AA122" s="729"/>
      <c r="AB122" s="729"/>
      <c r="AC122" s="729"/>
      <c r="AD122" s="729"/>
      <c r="AE122" s="729"/>
      <c r="AF122" s="729"/>
      <c r="AG122" s="729"/>
      <c r="AH122" s="729"/>
      <c r="AI122" s="729"/>
      <c r="AJ122" s="729"/>
      <c r="AK122" s="729"/>
      <c r="AL122" s="729"/>
      <c r="AM122" s="729"/>
      <c r="AN122" s="729"/>
      <c r="AO122" s="729"/>
      <c r="AP122" s="729"/>
      <c r="AQ122" s="729"/>
      <c r="AR122" s="729"/>
      <c r="AS122" s="729"/>
      <c r="AT122" s="729"/>
      <c r="AU122" s="729"/>
      <c r="AV122" s="729"/>
      <c r="AW122" s="729"/>
      <c r="AX122" s="729"/>
      <c r="AY122" s="729"/>
      <c r="AZ122" s="729"/>
      <c r="BA122" s="729"/>
      <c r="BB122" s="729"/>
      <c r="BC122" s="729"/>
      <c r="BD122" s="729"/>
      <c r="BE122" s="729"/>
      <c r="BF122" s="729"/>
      <c r="BG122" s="729"/>
      <c r="BH122" s="729"/>
      <c r="BI122" s="729"/>
      <c r="BJ122" s="729"/>
      <c r="BK122" s="729"/>
      <c r="BL122" s="729"/>
      <c r="BM122" s="729"/>
      <c r="BN122" s="729"/>
      <c r="BO122" s="729"/>
      <c r="BP122" s="729"/>
      <c r="BQ122" s="729"/>
      <c r="BR122" s="729"/>
      <c r="BS122" s="729"/>
      <c r="BT122" s="729"/>
      <c r="BU122" s="729"/>
      <c r="BV122" s="729"/>
      <c r="BW122" s="732"/>
      <c r="BX122" s="732"/>
      <c r="BY122" s="732"/>
      <c r="BZ122" s="732"/>
      <c r="CA122" s="732"/>
      <c r="CB122" s="732"/>
      <c r="CC122" s="732"/>
      <c r="CD122" s="732"/>
      <c r="CE122" s="732"/>
      <c r="CF122" s="732"/>
      <c r="CG122" s="732"/>
      <c r="CH122" s="732"/>
      <c r="CI122" s="732"/>
      <c r="CJ122" s="732"/>
      <c r="CK122" s="732"/>
      <c r="CL122" s="732"/>
      <c r="CM122" s="732"/>
      <c r="CN122" s="732"/>
      <c r="CO122" s="732"/>
      <c r="CP122" s="732"/>
      <c r="CQ122" s="732"/>
      <c r="CR122" s="732"/>
      <c r="CS122" s="732"/>
      <c r="CT122" s="732"/>
      <c r="CU122" s="732"/>
      <c r="CV122" s="732"/>
      <c r="CW122" s="732"/>
      <c r="CX122" s="732"/>
      <c r="CY122" s="732"/>
      <c r="CZ122" s="732"/>
      <c r="DA122" s="732"/>
      <c r="DB122" s="732"/>
      <c r="DC122" s="732"/>
      <c r="DD122" s="732"/>
      <c r="DE122" s="732"/>
      <c r="DF122" s="732"/>
      <c r="DG122" s="732"/>
      <c r="DH122" s="732"/>
      <c r="DI122" s="732"/>
      <c r="DJ122" s="732"/>
      <c r="DK122" s="732"/>
      <c r="DL122" s="732"/>
      <c r="DM122" s="732"/>
      <c r="DN122" s="732"/>
      <c r="DO122" s="732"/>
      <c r="DP122" s="732"/>
      <c r="DQ122" s="732"/>
      <c r="DR122" s="732"/>
      <c r="DS122" s="732"/>
      <c r="DT122" s="732"/>
      <c r="DU122" s="732"/>
      <c r="DV122" s="732"/>
      <c r="DW122" s="732"/>
      <c r="DX122" s="732"/>
      <c r="DY122" s="732"/>
      <c r="DZ122" s="732"/>
      <c r="EA122" s="732"/>
      <c r="EB122" s="732"/>
      <c r="EC122" s="732"/>
      <c r="ED122" s="732"/>
      <c r="EE122" s="732"/>
      <c r="EF122" s="732"/>
      <c r="EG122" s="732"/>
      <c r="EH122" s="732"/>
      <c r="EI122" s="732"/>
      <c r="EJ122" s="732"/>
      <c r="EK122" s="732"/>
      <c r="EL122" s="732"/>
      <c r="EM122" s="732"/>
      <c r="EN122" s="732"/>
      <c r="EO122" s="732"/>
      <c r="EP122" s="732"/>
      <c r="EQ122" s="732"/>
      <c r="ER122" s="732"/>
      <c r="ES122" s="732"/>
      <c r="ET122" s="732"/>
      <c r="EU122" s="732"/>
      <c r="EV122" s="732"/>
      <c r="EW122" s="732"/>
      <c r="EX122" s="732"/>
      <c r="EY122" s="732"/>
      <c r="EZ122" s="732"/>
      <c r="FA122" s="732"/>
      <c r="FB122" s="732"/>
      <c r="FC122" s="732"/>
      <c r="FD122" s="732"/>
      <c r="FE122" s="732"/>
      <c r="FF122" s="732"/>
      <c r="FG122" s="732"/>
      <c r="FH122" s="732"/>
      <c r="FI122" s="732"/>
      <c r="FJ122" s="732"/>
      <c r="FK122" s="732"/>
      <c r="FL122" s="732"/>
      <c r="FM122" s="732"/>
      <c r="FN122" s="732"/>
      <c r="FO122" s="732"/>
      <c r="FP122" s="732"/>
      <c r="FQ122" s="732"/>
      <c r="FR122" s="732"/>
      <c r="FS122" s="732"/>
      <c r="FT122" s="732"/>
      <c r="FU122" s="732"/>
      <c r="FV122" s="732"/>
      <c r="FW122" s="732"/>
      <c r="FX122" s="732"/>
      <c r="FY122" s="732"/>
      <c r="FZ122" s="732"/>
      <c r="GA122" s="732"/>
      <c r="GB122" s="732"/>
      <c r="GC122" s="732"/>
      <c r="GD122" s="732"/>
      <c r="GE122" s="732"/>
      <c r="GF122" s="732"/>
      <c r="GG122" s="732"/>
      <c r="GH122" s="732"/>
      <c r="GI122" s="732"/>
      <c r="GJ122" s="732"/>
      <c r="GK122" s="732"/>
      <c r="GL122" s="732"/>
      <c r="GM122" s="732"/>
      <c r="GN122" s="732"/>
      <c r="GO122" s="732"/>
      <c r="GP122" s="732"/>
      <c r="GQ122" s="732"/>
      <c r="GR122" s="732"/>
      <c r="GS122" s="732"/>
      <c r="GT122" s="732"/>
      <c r="GU122" s="732"/>
      <c r="GV122" s="732"/>
      <c r="GW122" s="732"/>
      <c r="GX122" s="732"/>
      <c r="GY122" s="732"/>
      <c r="GZ122" s="732"/>
      <c r="HA122" s="732"/>
      <c r="HB122" s="732"/>
      <c r="HC122" s="732"/>
      <c r="HD122" s="732"/>
      <c r="HE122" s="732"/>
      <c r="HF122" s="732"/>
      <c r="HG122" s="732"/>
      <c r="HH122" s="732"/>
      <c r="HI122" s="732"/>
      <c r="HJ122" s="732"/>
      <c r="HK122" s="732"/>
      <c r="HL122" s="732"/>
      <c r="HM122" s="732"/>
      <c r="HN122" s="732"/>
      <c r="HO122" s="732"/>
      <c r="HP122" s="732"/>
      <c r="HQ122" s="732"/>
      <c r="HR122" s="732"/>
      <c r="HS122" s="732"/>
      <c r="HT122" s="732"/>
      <c r="HU122" s="732"/>
      <c r="HV122" s="732"/>
      <c r="HW122" s="732"/>
      <c r="HX122" s="732"/>
      <c r="HY122" s="732"/>
      <c r="HZ122" s="732"/>
      <c r="IA122" s="732"/>
      <c r="IB122" s="732"/>
      <c r="IC122" s="732"/>
      <c r="ID122" s="732"/>
      <c r="IE122" s="732"/>
      <c r="IF122" s="732"/>
      <c r="IG122" s="732"/>
      <c r="IH122" s="732"/>
      <c r="II122" s="732"/>
      <c r="IJ122" s="732"/>
      <c r="IK122" s="732"/>
      <c r="IL122" s="732"/>
      <c r="IM122" s="732"/>
      <c r="IN122" s="732"/>
      <c r="IO122" s="732"/>
      <c r="IP122" s="732"/>
      <c r="IQ122" s="732"/>
      <c r="IR122" s="732"/>
      <c r="IS122" s="732"/>
    </row>
    <row r="123" s="563" customFormat="1" ht="15" spans="1:253">
      <c r="A123" s="719" t="s">
        <v>114</v>
      </c>
      <c r="B123" s="657" t="s">
        <v>206</v>
      </c>
      <c r="C123" s="698" t="s">
        <v>141</v>
      </c>
      <c r="D123" s="716" t="s">
        <v>23</v>
      </c>
      <c r="E123" s="720">
        <f>'PB VI - Memorial'!B123</f>
        <v>0.6</v>
      </c>
      <c r="F123" s="694">
        <f>F102</f>
        <v>393.85</v>
      </c>
      <c r="G123" s="694">
        <f t="shared" si="5"/>
        <v>236.31</v>
      </c>
      <c r="H123" s="711"/>
      <c r="I123" s="711"/>
      <c r="J123" s="711"/>
      <c r="K123" s="711"/>
      <c r="L123" s="711"/>
      <c r="M123" s="695">
        <f t="shared" si="19"/>
        <v>997182.95</v>
      </c>
      <c r="N123" s="729"/>
      <c r="O123" s="729"/>
      <c r="P123" s="729"/>
      <c r="Q123" s="729"/>
      <c r="R123" s="729"/>
      <c r="S123" s="729"/>
      <c r="T123" s="729"/>
      <c r="U123" s="729"/>
      <c r="V123" s="729"/>
      <c r="W123" s="729"/>
      <c r="X123" s="729"/>
      <c r="Y123" s="729"/>
      <c r="Z123" s="729"/>
      <c r="AA123" s="729"/>
      <c r="AB123" s="729"/>
      <c r="AC123" s="729"/>
      <c r="AD123" s="729"/>
      <c r="AE123" s="729"/>
      <c r="AF123" s="729"/>
      <c r="AG123" s="729"/>
      <c r="AH123" s="729"/>
      <c r="AI123" s="729"/>
      <c r="AJ123" s="729"/>
      <c r="AK123" s="729"/>
      <c r="AL123" s="729"/>
      <c r="AM123" s="729"/>
      <c r="AN123" s="729"/>
      <c r="AO123" s="729"/>
      <c r="AP123" s="729"/>
      <c r="AQ123" s="729"/>
      <c r="AR123" s="729"/>
      <c r="AS123" s="729"/>
      <c r="AT123" s="729"/>
      <c r="AU123" s="729"/>
      <c r="AV123" s="729"/>
      <c r="AW123" s="729"/>
      <c r="AX123" s="729"/>
      <c r="AY123" s="729"/>
      <c r="AZ123" s="729"/>
      <c r="BA123" s="729"/>
      <c r="BB123" s="729"/>
      <c r="BC123" s="729"/>
      <c r="BD123" s="729"/>
      <c r="BE123" s="729"/>
      <c r="BF123" s="729"/>
      <c r="BG123" s="729"/>
      <c r="BH123" s="729"/>
      <c r="BI123" s="729"/>
      <c r="BJ123" s="729"/>
      <c r="BK123" s="729"/>
      <c r="BL123" s="729"/>
      <c r="BM123" s="729"/>
      <c r="BN123" s="729"/>
      <c r="BO123" s="729"/>
      <c r="BP123" s="729"/>
      <c r="BQ123" s="729"/>
      <c r="BR123" s="729"/>
      <c r="BS123" s="729"/>
      <c r="BT123" s="729"/>
      <c r="BU123" s="729"/>
      <c r="BV123" s="729"/>
      <c r="BW123" s="732"/>
      <c r="BX123" s="732"/>
      <c r="BY123" s="732"/>
      <c r="BZ123" s="732"/>
      <c r="CA123" s="732"/>
      <c r="CB123" s="732"/>
      <c r="CC123" s="732"/>
      <c r="CD123" s="732"/>
      <c r="CE123" s="732"/>
      <c r="CF123" s="732"/>
      <c r="CG123" s="732"/>
      <c r="CH123" s="732"/>
      <c r="CI123" s="732"/>
      <c r="CJ123" s="732"/>
      <c r="CK123" s="732"/>
      <c r="CL123" s="732"/>
      <c r="CM123" s="732"/>
      <c r="CN123" s="732"/>
      <c r="CO123" s="732"/>
      <c r="CP123" s="732"/>
      <c r="CQ123" s="732"/>
      <c r="CR123" s="732"/>
      <c r="CS123" s="732"/>
      <c r="CT123" s="732"/>
      <c r="CU123" s="732"/>
      <c r="CV123" s="732"/>
      <c r="CW123" s="732"/>
      <c r="CX123" s="732"/>
      <c r="CY123" s="732"/>
      <c r="CZ123" s="732"/>
      <c r="DA123" s="732"/>
      <c r="DB123" s="732"/>
      <c r="DC123" s="732"/>
      <c r="DD123" s="732"/>
      <c r="DE123" s="732"/>
      <c r="DF123" s="732"/>
      <c r="DG123" s="732"/>
      <c r="DH123" s="732"/>
      <c r="DI123" s="732"/>
      <c r="DJ123" s="732"/>
      <c r="DK123" s="732"/>
      <c r="DL123" s="732"/>
      <c r="DM123" s="732"/>
      <c r="DN123" s="732"/>
      <c r="DO123" s="732"/>
      <c r="DP123" s="732"/>
      <c r="DQ123" s="732"/>
      <c r="DR123" s="732"/>
      <c r="DS123" s="732"/>
      <c r="DT123" s="732"/>
      <c r="DU123" s="732"/>
      <c r="DV123" s="732"/>
      <c r="DW123" s="732"/>
      <c r="DX123" s="732"/>
      <c r="DY123" s="732"/>
      <c r="DZ123" s="732"/>
      <c r="EA123" s="732"/>
      <c r="EB123" s="732"/>
      <c r="EC123" s="732"/>
      <c r="ED123" s="732"/>
      <c r="EE123" s="732"/>
      <c r="EF123" s="732"/>
      <c r="EG123" s="732"/>
      <c r="EH123" s="732"/>
      <c r="EI123" s="732"/>
      <c r="EJ123" s="732"/>
      <c r="EK123" s="732"/>
      <c r="EL123" s="732"/>
      <c r="EM123" s="732"/>
      <c r="EN123" s="732"/>
      <c r="EO123" s="732"/>
      <c r="EP123" s="732"/>
      <c r="EQ123" s="732"/>
      <c r="ER123" s="732"/>
      <c r="ES123" s="732"/>
      <c r="ET123" s="732"/>
      <c r="EU123" s="732"/>
      <c r="EV123" s="732"/>
      <c r="EW123" s="732"/>
      <c r="EX123" s="732"/>
      <c r="EY123" s="732"/>
      <c r="EZ123" s="732"/>
      <c r="FA123" s="732"/>
      <c r="FB123" s="732"/>
      <c r="FC123" s="732"/>
      <c r="FD123" s="732"/>
      <c r="FE123" s="732"/>
      <c r="FF123" s="732"/>
      <c r="FG123" s="732"/>
      <c r="FH123" s="732"/>
      <c r="FI123" s="732"/>
      <c r="FJ123" s="732"/>
      <c r="FK123" s="732"/>
      <c r="FL123" s="732"/>
      <c r="FM123" s="732"/>
      <c r="FN123" s="732"/>
      <c r="FO123" s="732"/>
      <c r="FP123" s="732"/>
      <c r="FQ123" s="732"/>
      <c r="FR123" s="732"/>
      <c r="FS123" s="732"/>
      <c r="FT123" s="732"/>
      <c r="FU123" s="732"/>
      <c r="FV123" s="732"/>
      <c r="FW123" s="732"/>
      <c r="FX123" s="732"/>
      <c r="FY123" s="732"/>
      <c r="FZ123" s="732"/>
      <c r="GA123" s="732"/>
      <c r="GB123" s="732"/>
      <c r="GC123" s="732"/>
      <c r="GD123" s="732"/>
      <c r="GE123" s="732"/>
      <c r="GF123" s="732"/>
      <c r="GG123" s="732"/>
      <c r="GH123" s="732"/>
      <c r="GI123" s="732"/>
      <c r="GJ123" s="732"/>
      <c r="GK123" s="732"/>
      <c r="GL123" s="732"/>
      <c r="GM123" s="732"/>
      <c r="GN123" s="732"/>
      <c r="GO123" s="732"/>
      <c r="GP123" s="732"/>
      <c r="GQ123" s="732"/>
      <c r="GR123" s="732"/>
      <c r="GS123" s="732"/>
      <c r="GT123" s="732"/>
      <c r="GU123" s="732"/>
      <c r="GV123" s="732"/>
      <c r="GW123" s="732"/>
      <c r="GX123" s="732"/>
      <c r="GY123" s="732"/>
      <c r="GZ123" s="732"/>
      <c r="HA123" s="732"/>
      <c r="HB123" s="732"/>
      <c r="HC123" s="732"/>
      <c r="HD123" s="732"/>
      <c r="HE123" s="732"/>
      <c r="HF123" s="732"/>
      <c r="HG123" s="732"/>
      <c r="HH123" s="732"/>
      <c r="HI123" s="732"/>
      <c r="HJ123" s="732"/>
      <c r="HK123" s="732"/>
      <c r="HL123" s="732"/>
      <c r="HM123" s="732"/>
      <c r="HN123" s="732"/>
      <c r="HO123" s="732"/>
      <c r="HP123" s="732"/>
      <c r="HQ123" s="732"/>
      <c r="HR123" s="732"/>
      <c r="HS123" s="732"/>
      <c r="HT123" s="732"/>
      <c r="HU123" s="732"/>
      <c r="HV123" s="732"/>
      <c r="HW123" s="732"/>
      <c r="HX123" s="732"/>
      <c r="HY123" s="732"/>
      <c r="HZ123" s="732"/>
      <c r="IA123" s="732"/>
      <c r="IB123" s="732"/>
      <c r="IC123" s="732"/>
      <c r="ID123" s="732"/>
      <c r="IE123" s="732"/>
      <c r="IF123" s="732"/>
      <c r="IG123" s="732"/>
      <c r="IH123" s="732"/>
      <c r="II123" s="732"/>
      <c r="IJ123" s="732"/>
      <c r="IK123" s="732"/>
      <c r="IL123" s="732"/>
      <c r="IM123" s="732"/>
      <c r="IN123" s="732"/>
      <c r="IO123" s="732"/>
      <c r="IP123" s="732"/>
      <c r="IQ123" s="732"/>
      <c r="IR123" s="732"/>
      <c r="IS123" s="732"/>
    </row>
    <row r="124" s="563" customFormat="1" ht="15" spans="1:253">
      <c r="A124" s="719" t="s">
        <v>64</v>
      </c>
      <c r="B124" s="657" t="s">
        <v>207</v>
      </c>
      <c r="C124" s="698" t="s">
        <v>118</v>
      </c>
      <c r="D124" s="716" t="s">
        <v>23</v>
      </c>
      <c r="E124" s="720">
        <f>E123</f>
        <v>0.6</v>
      </c>
      <c r="F124" s="694">
        <f>F103</f>
        <v>143.94</v>
      </c>
      <c r="G124" s="694">
        <f t="shared" si="5"/>
        <v>86.36</v>
      </c>
      <c r="H124" s="711"/>
      <c r="I124" s="711"/>
      <c r="J124" s="711"/>
      <c r="K124" s="711"/>
      <c r="L124" s="711"/>
      <c r="M124" s="695">
        <f t="shared" si="19"/>
        <v>997182.95</v>
      </c>
      <c r="N124" s="729"/>
      <c r="O124" s="729"/>
      <c r="P124" s="729"/>
      <c r="Q124" s="729"/>
      <c r="R124" s="729"/>
      <c r="S124" s="729"/>
      <c r="T124" s="729"/>
      <c r="U124" s="729"/>
      <c r="V124" s="729"/>
      <c r="W124" s="729"/>
      <c r="X124" s="729"/>
      <c r="Y124" s="729"/>
      <c r="Z124" s="729"/>
      <c r="AA124" s="729"/>
      <c r="AB124" s="729"/>
      <c r="AC124" s="729"/>
      <c r="AD124" s="729"/>
      <c r="AE124" s="729"/>
      <c r="AF124" s="729"/>
      <c r="AG124" s="729"/>
      <c r="AH124" s="729"/>
      <c r="AI124" s="729"/>
      <c r="AJ124" s="729"/>
      <c r="AK124" s="729"/>
      <c r="AL124" s="729"/>
      <c r="AM124" s="729"/>
      <c r="AN124" s="729"/>
      <c r="AO124" s="729"/>
      <c r="AP124" s="729"/>
      <c r="AQ124" s="729"/>
      <c r="AR124" s="729"/>
      <c r="AS124" s="729"/>
      <c r="AT124" s="729"/>
      <c r="AU124" s="729"/>
      <c r="AV124" s="729"/>
      <c r="AW124" s="729"/>
      <c r="AX124" s="729"/>
      <c r="AY124" s="729"/>
      <c r="AZ124" s="729"/>
      <c r="BA124" s="729"/>
      <c r="BB124" s="729"/>
      <c r="BC124" s="729"/>
      <c r="BD124" s="729"/>
      <c r="BE124" s="729"/>
      <c r="BF124" s="729"/>
      <c r="BG124" s="729"/>
      <c r="BH124" s="729"/>
      <c r="BI124" s="729"/>
      <c r="BJ124" s="729"/>
      <c r="BK124" s="729"/>
      <c r="BL124" s="729"/>
      <c r="BM124" s="729"/>
      <c r="BN124" s="729"/>
      <c r="BO124" s="729"/>
      <c r="BP124" s="729"/>
      <c r="BQ124" s="729"/>
      <c r="BR124" s="729"/>
      <c r="BS124" s="729"/>
      <c r="BT124" s="729"/>
      <c r="BU124" s="729"/>
      <c r="BV124" s="729"/>
      <c r="BW124" s="732"/>
      <c r="BX124" s="732"/>
      <c r="BY124" s="732"/>
      <c r="BZ124" s="732"/>
      <c r="CA124" s="732"/>
      <c r="CB124" s="732"/>
      <c r="CC124" s="732"/>
      <c r="CD124" s="732"/>
      <c r="CE124" s="732"/>
      <c r="CF124" s="732"/>
      <c r="CG124" s="732"/>
      <c r="CH124" s="732"/>
      <c r="CI124" s="732"/>
      <c r="CJ124" s="732"/>
      <c r="CK124" s="732"/>
      <c r="CL124" s="732"/>
      <c r="CM124" s="732"/>
      <c r="CN124" s="732"/>
      <c r="CO124" s="732"/>
      <c r="CP124" s="732"/>
      <c r="CQ124" s="732"/>
      <c r="CR124" s="732"/>
      <c r="CS124" s="732"/>
      <c r="CT124" s="732"/>
      <c r="CU124" s="732"/>
      <c r="CV124" s="732"/>
      <c r="CW124" s="732"/>
      <c r="CX124" s="732"/>
      <c r="CY124" s="732"/>
      <c r="CZ124" s="732"/>
      <c r="DA124" s="732"/>
      <c r="DB124" s="732"/>
      <c r="DC124" s="732"/>
      <c r="DD124" s="732"/>
      <c r="DE124" s="732"/>
      <c r="DF124" s="732"/>
      <c r="DG124" s="732"/>
      <c r="DH124" s="732"/>
      <c r="DI124" s="732"/>
      <c r="DJ124" s="732"/>
      <c r="DK124" s="732"/>
      <c r="DL124" s="732"/>
      <c r="DM124" s="732"/>
      <c r="DN124" s="732"/>
      <c r="DO124" s="732"/>
      <c r="DP124" s="732"/>
      <c r="DQ124" s="732"/>
      <c r="DR124" s="732"/>
      <c r="DS124" s="732"/>
      <c r="DT124" s="732"/>
      <c r="DU124" s="732"/>
      <c r="DV124" s="732"/>
      <c r="DW124" s="732"/>
      <c r="DX124" s="732"/>
      <c r="DY124" s="732"/>
      <c r="DZ124" s="732"/>
      <c r="EA124" s="732"/>
      <c r="EB124" s="732"/>
      <c r="EC124" s="732"/>
      <c r="ED124" s="732"/>
      <c r="EE124" s="732"/>
      <c r="EF124" s="732"/>
      <c r="EG124" s="732"/>
      <c r="EH124" s="732"/>
      <c r="EI124" s="732"/>
      <c r="EJ124" s="732"/>
      <c r="EK124" s="732"/>
      <c r="EL124" s="732"/>
      <c r="EM124" s="732"/>
      <c r="EN124" s="732"/>
      <c r="EO124" s="732"/>
      <c r="EP124" s="732"/>
      <c r="EQ124" s="732"/>
      <c r="ER124" s="732"/>
      <c r="ES124" s="732"/>
      <c r="ET124" s="732"/>
      <c r="EU124" s="732"/>
      <c r="EV124" s="732"/>
      <c r="EW124" s="732"/>
      <c r="EX124" s="732"/>
      <c r="EY124" s="732"/>
      <c r="EZ124" s="732"/>
      <c r="FA124" s="732"/>
      <c r="FB124" s="732"/>
      <c r="FC124" s="732"/>
      <c r="FD124" s="732"/>
      <c r="FE124" s="732"/>
      <c r="FF124" s="732"/>
      <c r="FG124" s="732"/>
      <c r="FH124" s="732"/>
      <c r="FI124" s="732"/>
      <c r="FJ124" s="732"/>
      <c r="FK124" s="732"/>
      <c r="FL124" s="732"/>
      <c r="FM124" s="732"/>
      <c r="FN124" s="732"/>
      <c r="FO124" s="732"/>
      <c r="FP124" s="732"/>
      <c r="FQ124" s="732"/>
      <c r="FR124" s="732"/>
      <c r="FS124" s="732"/>
      <c r="FT124" s="732"/>
      <c r="FU124" s="732"/>
      <c r="FV124" s="732"/>
      <c r="FW124" s="732"/>
      <c r="FX124" s="732"/>
      <c r="FY124" s="732"/>
      <c r="FZ124" s="732"/>
      <c r="GA124" s="732"/>
      <c r="GB124" s="732"/>
      <c r="GC124" s="732"/>
      <c r="GD124" s="732"/>
      <c r="GE124" s="732"/>
      <c r="GF124" s="732"/>
      <c r="GG124" s="732"/>
      <c r="GH124" s="732"/>
      <c r="GI124" s="732"/>
      <c r="GJ124" s="732"/>
      <c r="GK124" s="732"/>
      <c r="GL124" s="732"/>
      <c r="GM124" s="732"/>
      <c r="GN124" s="732"/>
      <c r="GO124" s="732"/>
      <c r="GP124" s="732"/>
      <c r="GQ124" s="732"/>
      <c r="GR124" s="732"/>
      <c r="GS124" s="732"/>
      <c r="GT124" s="732"/>
      <c r="GU124" s="732"/>
      <c r="GV124" s="732"/>
      <c r="GW124" s="732"/>
      <c r="GX124" s="732"/>
      <c r="GY124" s="732"/>
      <c r="GZ124" s="732"/>
      <c r="HA124" s="732"/>
      <c r="HB124" s="732"/>
      <c r="HC124" s="732"/>
      <c r="HD124" s="732"/>
      <c r="HE124" s="732"/>
      <c r="HF124" s="732"/>
      <c r="HG124" s="732"/>
      <c r="HH124" s="732"/>
      <c r="HI124" s="732"/>
      <c r="HJ124" s="732"/>
      <c r="HK124" s="732"/>
      <c r="HL124" s="732"/>
      <c r="HM124" s="732"/>
      <c r="HN124" s="732"/>
      <c r="HO124" s="732"/>
      <c r="HP124" s="732"/>
      <c r="HQ124" s="732"/>
      <c r="HR124" s="732"/>
      <c r="HS124" s="732"/>
      <c r="HT124" s="732"/>
      <c r="HU124" s="732"/>
      <c r="HV124" s="732"/>
      <c r="HW124" s="732"/>
      <c r="HX124" s="732"/>
      <c r="HY124" s="732"/>
      <c r="HZ124" s="732"/>
      <c r="IA124" s="732"/>
      <c r="IB124" s="732"/>
      <c r="IC124" s="732"/>
      <c r="ID124" s="732"/>
      <c r="IE124" s="732"/>
      <c r="IF124" s="732"/>
      <c r="IG124" s="732"/>
      <c r="IH124" s="732"/>
      <c r="II124" s="732"/>
      <c r="IJ124" s="732"/>
      <c r="IK124" s="732"/>
      <c r="IL124" s="732"/>
      <c r="IM124" s="732"/>
      <c r="IN124" s="732"/>
      <c r="IO124" s="732"/>
      <c r="IP124" s="732"/>
      <c r="IQ124" s="732"/>
      <c r="IR124" s="732"/>
      <c r="IS124" s="732"/>
    </row>
    <row r="125" s="563" customFormat="1" ht="15" spans="1:253">
      <c r="A125" s="719" t="s">
        <v>208</v>
      </c>
      <c r="B125" s="657" t="s">
        <v>209</v>
      </c>
      <c r="C125" s="698" t="s">
        <v>172</v>
      </c>
      <c r="D125" s="716" t="s">
        <v>17</v>
      </c>
      <c r="E125" s="720">
        <f>'PB VI - Memorial'!C123</f>
        <v>12</v>
      </c>
      <c r="F125" s="694">
        <v>43.1</v>
      </c>
      <c r="G125" s="694">
        <f t="shared" si="5"/>
        <v>517.2</v>
      </c>
      <c r="H125" s="711"/>
      <c r="I125" s="711"/>
      <c r="J125" s="711"/>
      <c r="K125" s="711"/>
      <c r="L125" s="711"/>
      <c r="M125" s="695">
        <f t="shared" si="19"/>
        <v>997182.95</v>
      </c>
      <c r="N125" s="729"/>
      <c r="O125" s="729"/>
      <c r="P125" s="729"/>
      <c r="Q125" s="729"/>
      <c r="R125" s="729"/>
      <c r="S125" s="729"/>
      <c r="T125" s="729"/>
      <c r="U125" s="729"/>
      <c r="V125" s="729"/>
      <c r="W125" s="729"/>
      <c r="X125" s="729"/>
      <c r="Y125" s="729"/>
      <c r="Z125" s="729"/>
      <c r="AA125" s="729"/>
      <c r="AB125" s="729"/>
      <c r="AC125" s="729"/>
      <c r="AD125" s="729"/>
      <c r="AE125" s="729"/>
      <c r="AF125" s="729"/>
      <c r="AG125" s="729"/>
      <c r="AH125" s="729"/>
      <c r="AI125" s="729"/>
      <c r="AJ125" s="729"/>
      <c r="AK125" s="729"/>
      <c r="AL125" s="729"/>
      <c r="AM125" s="729"/>
      <c r="AN125" s="729"/>
      <c r="AO125" s="729"/>
      <c r="AP125" s="729"/>
      <c r="AQ125" s="729"/>
      <c r="AR125" s="729"/>
      <c r="AS125" s="729"/>
      <c r="AT125" s="729"/>
      <c r="AU125" s="729"/>
      <c r="AV125" s="729"/>
      <c r="AW125" s="729"/>
      <c r="AX125" s="729"/>
      <c r="AY125" s="729"/>
      <c r="AZ125" s="729"/>
      <c r="BA125" s="729"/>
      <c r="BB125" s="729"/>
      <c r="BC125" s="729"/>
      <c r="BD125" s="729"/>
      <c r="BE125" s="729"/>
      <c r="BF125" s="729"/>
      <c r="BG125" s="729"/>
      <c r="BH125" s="729"/>
      <c r="BI125" s="729"/>
      <c r="BJ125" s="729"/>
      <c r="BK125" s="729"/>
      <c r="BL125" s="729"/>
      <c r="BM125" s="729"/>
      <c r="BN125" s="729"/>
      <c r="BO125" s="729"/>
      <c r="BP125" s="729"/>
      <c r="BQ125" s="729"/>
      <c r="BR125" s="729"/>
      <c r="BS125" s="729"/>
      <c r="BT125" s="729"/>
      <c r="BU125" s="729"/>
      <c r="BV125" s="729"/>
      <c r="BW125" s="732"/>
      <c r="BX125" s="732"/>
      <c r="BY125" s="732"/>
      <c r="BZ125" s="732"/>
      <c r="CA125" s="732"/>
      <c r="CB125" s="732"/>
      <c r="CC125" s="732"/>
      <c r="CD125" s="732"/>
      <c r="CE125" s="732"/>
      <c r="CF125" s="732"/>
      <c r="CG125" s="732"/>
      <c r="CH125" s="732"/>
      <c r="CI125" s="732"/>
      <c r="CJ125" s="732"/>
      <c r="CK125" s="732"/>
      <c r="CL125" s="732"/>
      <c r="CM125" s="732"/>
      <c r="CN125" s="732"/>
      <c r="CO125" s="732"/>
      <c r="CP125" s="732"/>
      <c r="CQ125" s="732"/>
      <c r="CR125" s="732"/>
      <c r="CS125" s="732"/>
      <c r="CT125" s="732"/>
      <c r="CU125" s="732"/>
      <c r="CV125" s="732"/>
      <c r="CW125" s="732"/>
      <c r="CX125" s="732"/>
      <c r="CY125" s="732"/>
      <c r="CZ125" s="732"/>
      <c r="DA125" s="732"/>
      <c r="DB125" s="732"/>
      <c r="DC125" s="732"/>
      <c r="DD125" s="732"/>
      <c r="DE125" s="732"/>
      <c r="DF125" s="732"/>
      <c r="DG125" s="732"/>
      <c r="DH125" s="732"/>
      <c r="DI125" s="732"/>
      <c r="DJ125" s="732"/>
      <c r="DK125" s="732"/>
      <c r="DL125" s="732"/>
      <c r="DM125" s="732"/>
      <c r="DN125" s="732"/>
      <c r="DO125" s="732"/>
      <c r="DP125" s="732"/>
      <c r="DQ125" s="732"/>
      <c r="DR125" s="732"/>
      <c r="DS125" s="732"/>
      <c r="DT125" s="732"/>
      <c r="DU125" s="732"/>
      <c r="DV125" s="732"/>
      <c r="DW125" s="732"/>
      <c r="DX125" s="732"/>
      <c r="DY125" s="732"/>
      <c r="DZ125" s="732"/>
      <c r="EA125" s="732"/>
      <c r="EB125" s="732"/>
      <c r="EC125" s="732"/>
      <c r="ED125" s="732"/>
      <c r="EE125" s="732"/>
      <c r="EF125" s="732"/>
      <c r="EG125" s="732"/>
      <c r="EH125" s="732"/>
      <c r="EI125" s="732"/>
      <c r="EJ125" s="732"/>
      <c r="EK125" s="732"/>
      <c r="EL125" s="732"/>
      <c r="EM125" s="732"/>
      <c r="EN125" s="732"/>
      <c r="EO125" s="732"/>
      <c r="EP125" s="732"/>
      <c r="EQ125" s="732"/>
      <c r="ER125" s="732"/>
      <c r="ES125" s="732"/>
      <c r="ET125" s="732"/>
      <c r="EU125" s="732"/>
      <c r="EV125" s="732"/>
      <c r="EW125" s="732"/>
      <c r="EX125" s="732"/>
      <c r="EY125" s="732"/>
      <c r="EZ125" s="732"/>
      <c r="FA125" s="732"/>
      <c r="FB125" s="732"/>
      <c r="FC125" s="732"/>
      <c r="FD125" s="732"/>
      <c r="FE125" s="732"/>
      <c r="FF125" s="732"/>
      <c r="FG125" s="732"/>
      <c r="FH125" s="732"/>
      <c r="FI125" s="732"/>
      <c r="FJ125" s="732"/>
      <c r="FK125" s="732"/>
      <c r="FL125" s="732"/>
      <c r="FM125" s="732"/>
      <c r="FN125" s="732"/>
      <c r="FO125" s="732"/>
      <c r="FP125" s="732"/>
      <c r="FQ125" s="732"/>
      <c r="FR125" s="732"/>
      <c r="FS125" s="732"/>
      <c r="FT125" s="732"/>
      <c r="FU125" s="732"/>
      <c r="FV125" s="732"/>
      <c r="FW125" s="732"/>
      <c r="FX125" s="732"/>
      <c r="FY125" s="732"/>
      <c r="FZ125" s="732"/>
      <c r="GA125" s="732"/>
      <c r="GB125" s="732"/>
      <c r="GC125" s="732"/>
      <c r="GD125" s="732"/>
      <c r="GE125" s="732"/>
      <c r="GF125" s="732"/>
      <c r="GG125" s="732"/>
      <c r="GH125" s="732"/>
      <c r="GI125" s="732"/>
      <c r="GJ125" s="732"/>
      <c r="GK125" s="732"/>
      <c r="GL125" s="732"/>
      <c r="GM125" s="732"/>
      <c r="GN125" s="732"/>
      <c r="GO125" s="732"/>
      <c r="GP125" s="732"/>
      <c r="GQ125" s="732"/>
      <c r="GR125" s="732"/>
      <c r="GS125" s="732"/>
      <c r="GT125" s="732"/>
      <c r="GU125" s="732"/>
      <c r="GV125" s="732"/>
      <c r="GW125" s="732"/>
      <c r="GX125" s="732"/>
      <c r="GY125" s="732"/>
      <c r="GZ125" s="732"/>
      <c r="HA125" s="732"/>
      <c r="HB125" s="732"/>
      <c r="HC125" s="732"/>
      <c r="HD125" s="732"/>
      <c r="HE125" s="732"/>
      <c r="HF125" s="732"/>
      <c r="HG125" s="732"/>
      <c r="HH125" s="732"/>
      <c r="HI125" s="732"/>
      <c r="HJ125" s="732"/>
      <c r="HK125" s="732"/>
      <c r="HL125" s="732"/>
      <c r="HM125" s="732"/>
      <c r="HN125" s="732"/>
      <c r="HO125" s="732"/>
      <c r="HP125" s="732"/>
      <c r="HQ125" s="732"/>
      <c r="HR125" s="732"/>
      <c r="HS125" s="732"/>
      <c r="HT125" s="732"/>
      <c r="HU125" s="732"/>
      <c r="HV125" s="732"/>
      <c r="HW125" s="732"/>
      <c r="HX125" s="732"/>
      <c r="HY125" s="732"/>
      <c r="HZ125" s="732"/>
      <c r="IA125" s="732"/>
      <c r="IB125" s="732"/>
      <c r="IC125" s="732"/>
      <c r="ID125" s="732"/>
      <c r="IE125" s="732"/>
      <c r="IF125" s="732"/>
      <c r="IG125" s="732"/>
      <c r="IH125" s="732"/>
      <c r="II125" s="732"/>
      <c r="IJ125" s="732"/>
      <c r="IK125" s="732"/>
      <c r="IL125" s="732"/>
      <c r="IM125" s="732"/>
      <c r="IN125" s="732"/>
      <c r="IO125" s="732"/>
      <c r="IP125" s="732"/>
      <c r="IQ125" s="732"/>
      <c r="IR125" s="732"/>
      <c r="IS125" s="732"/>
    </row>
    <row r="126" s="563" customFormat="1" ht="15" spans="1:253">
      <c r="A126" s="719" t="s">
        <v>151</v>
      </c>
      <c r="B126" s="657" t="s">
        <v>210</v>
      </c>
      <c r="C126" s="698" t="s">
        <v>211</v>
      </c>
      <c r="D126" s="716" t="s">
        <v>69</v>
      </c>
      <c r="E126" s="720">
        <f>'PB VI - Memorial'!D125</f>
        <v>33</v>
      </c>
      <c r="F126" s="694">
        <v>8.97</v>
      </c>
      <c r="G126" s="694">
        <f t="shared" si="5"/>
        <v>296.01</v>
      </c>
      <c r="H126" s="711"/>
      <c r="I126" s="711"/>
      <c r="J126" s="711"/>
      <c r="K126" s="711"/>
      <c r="L126" s="711"/>
      <c r="M126" s="695">
        <f t="shared" si="19"/>
        <v>997182.95</v>
      </c>
      <c r="N126" s="729"/>
      <c r="O126" s="729"/>
      <c r="P126" s="729"/>
      <c r="Q126" s="729"/>
      <c r="R126" s="729"/>
      <c r="S126" s="729"/>
      <c r="T126" s="729"/>
      <c r="U126" s="729"/>
      <c r="V126" s="729"/>
      <c r="W126" s="729"/>
      <c r="X126" s="729"/>
      <c r="Y126" s="729"/>
      <c r="Z126" s="729"/>
      <c r="AA126" s="729"/>
      <c r="AB126" s="729"/>
      <c r="AC126" s="729"/>
      <c r="AD126" s="729"/>
      <c r="AE126" s="729"/>
      <c r="AF126" s="729"/>
      <c r="AG126" s="729"/>
      <c r="AH126" s="729"/>
      <c r="AI126" s="729"/>
      <c r="AJ126" s="729"/>
      <c r="AK126" s="729"/>
      <c r="AL126" s="729"/>
      <c r="AM126" s="729"/>
      <c r="AN126" s="729"/>
      <c r="AO126" s="729"/>
      <c r="AP126" s="729"/>
      <c r="AQ126" s="729"/>
      <c r="AR126" s="729"/>
      <c r="AS126" s="729"/>
      <c r="AT126" s="729"/>
      <c r="AU126" s="729"/>
      <c r="AV126" s="729"/>
      <c r="AW126" s="729"/>
      <c r="AX126" s="729"/>
      <c r="AY126" s="729"/>
      <c r="AZ126" s="729"/>
      <c r="BA126" s="729"/>
      <c r="BB126" s="729"/>
      <c r="BC126" s="729"/>
      <c r="BD126" s="729"/>
      <c r="BE126" s="729"/>
      <c r="BF126" s="729"/>
      <c r="BG126" s="729"/>
      <c r="BH126" s="729"/>
      <c r="BI126" s="729"/>
      <c r="BJ126" s="729"/>
      <c r="BK126" s="729"/>
      <c r="BL126" s="729"/>
      <c r="BM126" s="729"/>
      <c r="BN126" s="729"/>
      <c r="BO126" s="729"/>
      <c r="BP126" s="729"/>
      <c r="BQ126" s="729"/>
      <c r="BR126" s="729"/>
      <c r="BS126" s="729"/>
      <c r="BT126" s="729"/>
      <c r="BU126" s="729"/>
      <c r="BV126" s="729"/>
      <c r="BW126" s="732"/>
      <c r="BX126" s="732"/>
      <c r="BY126" s="732"/>
      <c r="BZ126" s="732"/>
      <c r="CA126" s="732"/>
      <c r="CB126" s="732"/>
      <c r="CC126" s="732"/>
      <c r="CD126" s="732"/>
      <c r="CE126" s="732"/>
      <c r="CF126" s="732"/>
      <c r="CG126" s="732"/>
      <c r="CH126" s="732"/>
      <c r="CI126" s="732"/>
      <c r="CJ126" s="732"/>
      <c r="CK126" s="732"/>
      <c r="CL126" s="732"/>
      <c r="CM126" s="732"/>
      <c r="CN126" s="732"/>
      <c r="CO126" s="732"/>
      <c r="CP126" s="732"/>
      <c r="CQ126" s="732"/>
      <c r="CR126" s="732"/>
      <c r="CS126" s="732"/>
      <c r="CT126" s="732"/>
      <c r="CU126" s="732"/>
      <c r="CV126" s="732"/>
      <c r="CW126" s="732"/>
      <c r="CX126" s="732"/>
      <c r="CY126" s="732"/>
      <c r="CZ126" s="732"/>
      <c r="DA126" s="732"/>
      <c r="DB126" s="732"/>
      <c r="DC126" s="732"/>
      <c r="DD126" s="732"/>
      <c r="DE126" s="732"/>
      <c r="DF126" s="732"/>
      <c r="DG126" s="732"/>
      <c r="DH126" s="732"/>
      <c r="DI126" s="732"/>
      <c r="DJ126" s="732"/>
      <c r="DK126" s="732"/>
      <c r="DL126" s="732"/>
      <c r="DM126" s="732"/>
      <c r="DN126" s="732"/>
      <c r="DO126" s="732"/>
      <c r="DP126" s="732"/>
      <c r="DQ126" s="732"/>
      <c r="DR126" s="732"/>
      <c r="DS126" s="732"/>
      <c r="DT126" s="732"/>
      <c r="DU126" s="732"/>
      <c r="DV126" s="732"/>
      <c r="DW126" s="732"/>
      <c r="DX126" s="732"/>
      <c r="DY126" s="732"/>
      <c r="DZ126" s="732"/>
      <c r="EA126" s="732"/>
      <c r="EB126" s="732"/>
      <c r="EC126" s="732"/>
      <c r="ED126" s="732"/>
      <c r="EE126" s="732"/>
      <c r="EF126" s="732"/>
      <c r="EG126" s="732"/>
      <c r="EH126" s="732"/>
      <c r="EI126" s="732"/>
      <c r="EJ126" s="732"/>
      <c r="EK126" s="732"/>
      <c r="EL126" s="732"/>
      <c r="EM126" s="732"/>
      <c r="EN126" s="732"/>
      <c r="EO126" s="732"/>
      <c r="EP126" s="732"/>
      <c r="EQ126" s="732"/>
      <c r="ER126" s="732"/>
      <c r="ES126" s="732"/>
      <c r="ET126" s="732"/>
      <c r="EU126" s="732"/>
      <c r="EV126" s="732"/>
      <c r="EW126" s="732"/>
      <c r="EX126" s="732"/>
      <c r="EY126" s="732"/>
      <c r="EZ126" s="732"/>
      <c r="FA126" s="732"/>
      <c r="FB126" s="732"/>
      <c r="FC126" s="732"/>
      <c r="FD126" s="732"/>
      <c r="FE126" s="732"/>
      <c r="FF126" s="732"/>
      <c r="FG126" s="732"/>
      <c r="FH126" s="732"/>
      <c r="FI126" s="732"/>
      <c r="FJ126" s="732"/>
      <c r="FK126" s="732"/>
      <c r="FL126" s="732"/>
      <c r="FM126" s="732"/>
      <c r="FN126" s="732"/>
      <c r="FO126" s="732"/>
      <c r="FP126" s="732"/>
      <c r="FQ126" s="732"/>
      <c r="FR126" s="732"/>
      <c r="FS126" s="732"/>
      <c r="FT126" s="732"/>
      <c r="FU126" s="732"/>
      <c r="FV126" s="732"/>
      <c r="FW126" s="732"/>
      <c r="FX126" s="732"/>
      <c r="FY126" s="732"/>
      <c r="FZ126" s="732"/>
      <c r="GA126" s="732"/>
      <c r="GB126" s="732"/>
      <c r="GC126" s="732"/>
      <c r="GD126" s="732"/>
      <c r="GE126" s="732"/>
      <c r="GF126" s="732"/>
      <c r="GG126" s="732"/>
      <c r="GH126" s="732"/>
      <c r="GI126" s="732"/>
      <c r="GJ126" s="732"/>
      <c r="GK126" s="732"/>
      <c r="GL126" s="732"/>
      <c r="GM126" s="732"/>
      <c r="GN126" s="732"/>
      <c r="GO126" s="732"/>
      <c r="GP126" s="732"/>
      <c r="GQ126" s="732"/>
      <c r="GR126" s="732"/>
      <c r="GS126" s="732"/>
      <c r="GT126" s="732"/>
      <c r="GU126" s="732"/>
      <c r="GV126" s="732"/>
      <c r="GW126" s="732"/>
      <c r="GX126" s="732"/>
      <c r="GY126" s="732"/>
      <c r="GZ126" s="732"/>
      <c r="HA126" s="732"/>
      <c r="HB126" s="732"/>
      <c r="HC126" s="732"/>
      <c r="HD126" s="732"/>
      <c r="HE126" s="732"/>
      <c r="HF126" s="732"/>
      <c r="HG126" s="732"/>
      <c r="HH126" s="732"/>
      <c r="HI126" s="732"/>
      <c r="HJ126" s="732"/>
      <c r="HK126" s="732"/>
      <c r="HL126" s="732"/>
      <c r="HM126" s="732"/>
      <c r="HN126" s="732"/>
      <c r="HO126" s="732"/>
      <c r="HP126" s="732"/>
      <c r="HQ126" s="732"/>
      <c r="HR126" s="732"/>
      <c r="HS126" s="732"/>
      <c r="HT126" s="732"/>
      <c r="HU126" s="732"/>
      <c r="HV126" s="732"/>
      <c r="HW126" s="732"/>
      <c r="HX126" s="732"/>
      <c r="HY126" s="732"/>
      <c r="HZ126" s="732"/>
      <c r="IA126" s="732"/>
      <c r="IB126" s="732"/>
      <c r="IC126" s="732"/>
      <c r="ID126" s="732"/>
      <c r="IE126" s="732"/>
      <c r="IF126" s="732"/>
      <c r="IG126" s="732"/>
      <c r="IH126" s="732"/>
      <c r="II126" s="732"/>
      <c r="IJ126" s="732"/>
      <c r="IK126" s="732"/>
      <c r="IL126" s="732"/>
      <c r="IM126" s="732"/>
      <c r="IN126" s="732"/>
      <c r="IO126" s="732"/>
      <c r="IP126" s="732"/>
      <c r="IQ126" s="732"/>
      <c r="IR126" s="732"/>
      <c r="IS126" s="732"/>
    </row>
    <row r="127" s="563" customFormat="1" ht="15" spans="1:253">
      <c r="A127" s="719" t="s">
        <v>160</v>
      </c>
      <c r="B127" s="657" t="s">
        <v>212</v>
      </c>
      <c r="C127" s="698" t="s">
        <v>162</v>
      </c>
      <c r="D127" s="716" t="s">
        <v>69</v>
      </c>
      <c r="E127" s="720">
        <f>'PB VI - Memorial'!G125</f>
        <v>14.36</v>
      </c>
      <c r="F127" s="694">
        <v>13.31</v>
      </c>
      <c r="G127" s="694">
        <f t="shared" si="5"/>
        <v>191.13</v>
      </c>
      <c r="H127" s="711"/>
      <c r="I127" s="711"/>
      <c r="J127" s="711"/>
      <c r="K127" s="711"/>
      <c r="L127" s="711"/>
      <c r="M127" s="695">
        <f t="shared" si="19"/>
        <v>997182.95</v>
      </c>
      <c r="N127" s="729"/>
      <c r="O127" s="729"/>
      <c r="P127" s="729"/>
      <c r="Q127" s="729"/>
      <c r="R127" s="729"/>
      <c r="S127" s="729"/>
      <c r="T127" s="729"/>
      <c r="U127" s="729"/>
      <c r="V127" s="729"/>
      <c r="W127" s="729"/>
      <c r="X127" s="729"/>
      <c r="Y127" s="729"/>
      <c r="Z127" s="729"/>
      <c r="AA127" s="729"/>
      <c r="AB127" s="729"/>
      <c r="AC127" s="729"/>
      <c r="AD127" s="729"/>
      <c r="AE127" s="729"/>
      <c r="AF127" s="729"/>
      <c r="AG127" s="729"/>
      <c r="AH127" s="729"/>
      <c r="AI127" s="729"/>
      <c r="AJ127" s="729"/>
      <c r="AK127" s="729"/>
      <c r="AL127" s="729"/>
      <c r="AM127" s="729"/>
      <c r="AN127" s="729"/>
      <c r="AO127" s="729"/>
      <c r="AP127" s="729"/>
      <c r="AQ127" s="729"/>
      <c r="AR127" s="729"/>
      <c r="AS127" s="729"/>
      <c r="AT127" s="729"/>
      <c r="AU127" s="729"/>
      <c r="AV127" s="729"/>
      <c r="AW127" s="729"/>
      <c r="AX127" s="729"/>
      <c r="AY127" s="729"/>
      <c r="AZ127" s="729"/>
      <c r="BA127" s="729"/>
      <c r="BB127" s="729"/>
      <c r="BC127" s="729"/>
      <c r="BD127" s="729"/>
      <c r="BE127" s="729"/>
      <c r="BF127" s="729"/>
      <c r="BG127" s="729"/>
      <c r="BH127" s="729"/>
      <c r="BI127" s="729"/>
      <c r="BJ127" s="729"/>
      <c r="BK127" s="729"/>
      <c r="BL127" s="729"/>
      <c r="BM127" s="729"/>
      <c r="BN127" s="729"/>
      <c r="BO127" s="729"/>
      <c r="BP127" s="729"/>
      <c r="BQ127" s="729"/>
      <c r="BR127" s="729"/>
      <c r="BS127" s="729"/>
      <c r="BT127" s="729"/>
      <c r="BU127" s="729"/>
      <c r="BV127" s="729"/>
      <c r="BW127" s="732"/>
      <c r="BX127" s="732"/>
      <c r="BY127" s="732"/>
      <c r="BZ127" s="732"/>
      <c r="CA127" s="732"/>
      <c r="CB127" s="732"/>
      <c r="CC127" s="732"/>
      <c r="CD127" s="732"/>
      <c r="CE127" s="732"/>
      <c r="CF127" s="732"/>
      <c r="CG127" s="732"/>
      <c r="CH127" s="732"/>
      <c r="CI127" s="732"/>
      <c r="CJ127" s="732"/>
      <c r="CK127" s="732"/>
      <c r="CL127" s="732"/>
      <c r="CM127" s="732"/>
      <c r="CN127" s="732"/>
      <c r="CO127" s="732"/>
      <c r="CP127" s="732"/>
      <c r="CQ127" s="732"/>
      <c r="CR127" s="732"/>
      <c r="CS127" s="732"/>
      <c r="CT127" s="732"/>
      <c r="CU127" s="732"/>
      <c r="CV127" s="732"/>
      <c r="CW127" s="732"/>
      <c r="CX127" s="732"/>
      <c r="CY127" s="732"/>
      <c r="CZ127" s="732"/>
      <c r="DA127" s="732"/>
      <c r="DB127" s="732"/>
      <c r="DC127" s="732"/>
      <c r="DD127" s="732"/>
      <c r="DE127" s="732"/>
      <c r="DF127" s="732"/>
      <c r="DG127" s="732"/>
      <c r="DH127" s="732"/>
      <c r="DI127" s="732"/>
      <c r="DJ127" s="732"/>
      <c r="DK127" s="732"/>
      <c r="DL127" s="732"/>
      <c r="DM127" s="732"/>
      <c r="DN127" s="732"/>
      <c r="DO127" s="732"/>
      <c r="DP127" s="732"/>
      <c r="DQ127" s="732"/>
      <c r="DR127" s="732"/>
      <c r="DS127" s="732"/>
      <c r="DT127" s="732"/>
      <c r="DU127" s="732"/>
      <c r="DV127" s="732"/>
      <c r="DW127" s="732"/>
      <c r="DX127" s="732"/>
      <c r="DY127" s="732"/>
      <c r="DZ127" s="732"/>
      <c r="EA127" s="732"/>
      <c r="EB127" s="732"/>
      <c r="EC127" s="732"/>
      <c r="ED127" s="732"/>
      <c r="EE127" s="732"/>
      <c r="EF127" s="732"/>
      <c r="EG127" s="732"/>
      <c r="EH127" s="732"/>
      <c r="EI127" s="732"/>
      <c r="EJ127" s="732"/>
      <c r="EK127" s="732"/>
      <c r="EL127" s="732"/>
      <c r="EM127" s="732"/>
      <c r="EN127" s="732"/>
      <c r="EO127" s="732"/>
      <c r="EP127" s="732"/>
      <c r="EQ127" s="732"/>
      <c r="ER127" s="732"/>
      <c r="ES127" s="732"/>
      <c r="ET127" s="732"/>
      <c r="EU127" s="732"/>
      <c r="EV127" s="732"/>
      <c r="EW127" s="732"/>
      <c r="EX127" s="732"/>
      <c r="EY127" s="732"/>
      <c r="EZ127" s="732"/>
      <c r="FA127" s="732"/>
      <c r="FB127" s="732"/>
      <c r="FC127" s="732"/>
      <c r="FD127" s="732"/>
      <c r="FE127" s="732"/>
      <c r="FF127" s="732"/>
      <c r="FG127" s="732"/>
      <c r="FH127" s="732"/>
      <c r="FI127" s="732"/>
      <c r="FJ127" s="732"/>
      <c r="FK127" s="732"/>
      <c r="FL127" s="732"/>
      <c r="FM127" s="732"/>
      <c r="FN127" s="732"/>
      <c r="FO127" s="732"/>
      <c r="FP127" s="732"/>
      <c r="FQ127" s="732"/>
      <c r="FR127" s="732"/>
      <c r="FS127" s="732"/>
      <c r="FT127" s="732"/>
      <c r="FU127" s="732"/>
      <c r="FV127" s="732"/>
      <c r="FW127" s="732"/>
      <c r="FX127" s="732"/>
      <c r="FY127" s="732"/>
      <c r="FZ127" s="732"/>
      <c r="GA127" s="732"/>
      <c r="GB127" s="732"/>
      <c r="GC127" s="732"/>
      <c r="GD127" s="732"/>
      <c r="GE127" s="732"/>
      <c r="GF127" s="732"/>
      <c r="GG127" s="732"/>
      <c r="GH127" s="732"/>
      <c r="GI127" s="732"/>
      <c r="GJ127" s="732"/>
      <c r="GK127" s="732"/>
      <c r="GL127" s="732"/>
      <c r="GM127" s="732"/>
      <c r="GN127" s="732"/>
      <c r="GO127" s="732"/>
      <c r="GP127" s="732"/>
      <c r="GQ127" s="732"/>
      <c r="GR127" s="732"/>
      <c r="GS127" s="732"/>
      <c r="GT127" s="732"/>
      <c r="GU127" s="732"/>
      <c r="GV127" s="732"/>
      <c r="GW127" s="732"/>
      <c r="GX127" s="732"/>
      <c r="GY127" s="732"/>
      <c r="GZ127" s="732"/>
      <c r="HA127" s="732"/>
      <c r="HB127" s="732"/>
      <c r="HC127" s="732"/>
      <c r="HD127" s="732"/>
      <c r="HE127" s="732"/>
      <c r="HF127" s="732"/>
      <c r="HG127" s="732"/>
      <c r="HH127" s="732"/>
      <c r="HI127" s="732"/>
      <c r="HJ127" s="732"/>
      <c r="HK127" s="732"/>
      <c r="HL127" s="732"/>
      <c r="HM127" s="732"/>
      <c r="HN127" s="732"/>
      <c r="HO127" s="732"/>
      <c r="HP127" s="732"/>
      <c r="HQ127" s="732"/>
      <c r="HR127" s="732"/>
      <c r="HS127" s="732"/>
      <c r="HT127" s="732"/>
      <c r="HU127" s="732"/>
      <c r="HV127" s="732"/>
      <c r="HW127" s="732"/>
      <c r="HX127" s="732"/>
      <c r="HY127" s="732"/>
      <c r="HZ127" s="732"/>
      <c r="IA127" s="732"/>
      <c r="IB127" s="732"/>
      <c r="IC127" s="732"/>
      <c r="ID127" s="732"/>
      <c r="IE127" s="732"/>
      <c r="IF127" s="732"/>
      <c r="IG127" s="732"/>
      <c r="IH127" s="732"/>
      <c r="II127" s="732"/>
      <c r="IJ127" s="732"/>
      <c r="IK127" s="732"/>
      <c r="IL127" s="732"/>
      <c r="IM127" s="732"/>
      <c r="IN127" s="732"/>
      <c r="IO127" s="732"/>
      <c r="IP127" s="732"/>
      <c r="IQ127" s="732"/>
      <c r="IR127" s="732"/>
      <c r="IS127" s="732"/>
    </row>
    <row r="128" s="563" customFormat="1" ht="15" spans="1:253">
      <c r="A128" s="719"/>
      <c r="B128" s="657"/>
      <c r="C128" s="698"/>
      <c r="D128" s="716"/>
      <c r="E128" s="720"/>
      <c r="F128" s="694"/>
      <c r="G128" s="694"/>
      <c r="H128" s="711"/>
      <c r="I128" s="711"/>
      <c r="J128" s="711"/>
      <c r="K128" s="711"/>
      <c r="L128" s="711"/>
      <c r="M128" s="695"/>
      <c r="N128" s="729"/>
      <c r="O128" s="729"/>
      <c r="P128" s="729"/>
      <c r="Q128" s="729"/>
      <c r="R128" s="729"/>
      <c r="S128" s="729"/>
      <c r="T128" s="729"/>
      <c r="U128" s="729"/>
      <c r="V128" s="729"/>
      <c r="W128" s="729"/>
      <c r="X128" s="729"/>
      <c r="Y128" s="729"/>
      <c r="Z128" s="729"/>
      <c r="AA128" s="729"/>
      <c r="AB128" s="729"/>
      <c r="AC128" s="729"/>
      <c r="AD128" s="729"/>
      <c r="AE128" s="729"/>
      <c r="AF128" s="729"/>
      <c r="AG128" s="729"/>
      <c r="AH128" s="729"/>
      <c r="AI128" s="729"/>
      <c r="AJ128" s="729"/>
      <c r="AK128" s="729"/>
      <c r="AL128" s="729"/>
      <c r="AM128" s="729"/>
      <c r="AN128" s="729"/>
      <c r="AO128" s="729"/>
      <c r="AP128" s="729"/>
      <c r="AQ128" s="729"/>
      <c r="AR128" s="729"/>
      <c r="AS128" s="729"/>
      <c r="AT128" s="729"/>
      <c r="AU128" s="729"/>
      <c r="AV128" s="729"/>
      <c r="AW128" s="729"/>
      <c r="AX128" s="729"/>
      <c r="AY128" s="729"/>
      <c r="AZ128" s="729"/>
      <c r="BA128" s="729"/>
      <c r="BB128" s="729"/>
      <c r="BC128" s="729"/>
      <c r="BD128" s="729"/>
      <c r="BE128" s="729"/>
      <c r="BF128" s="729"/>
      <c r="BG128" s="729"/>
      <c r="BH128" s="729"/>
      <c r="BI128" s="729"/>
      <c r="BJ128" s="729"/>
      <c r="BK128" s="729"/>
      <c r="BL128" s="729"/>
      <c r="BM128" s="729"/>
      <c r="BN128" s="729"/>
      <c r="BO128" s="729"/>
      <c r="BP128" s="729"/>
      <c r="BQ128" s="729"/>
      <c r="BR128" s="729"/>
      <c r="BS128" s="729"/>
      <c r="BT128" s="729"/>
      <c r="BU128" s="729"/>
      <c r="BV128" s="729"/>
      <c r="BW128" s="732"/>
      <c r="BX128" s="732"/>
      <c r="BY128" s="732"/>
      <c r="BZ128" s="732"/>
      <c r="CA128" s="732"/>
      <c r="CB128" s="732"/>
      <c r="CC128" s="732"/>
      <c r="CD128" s="732"/>
      <c r="CE128" s="732"/>
      <c r="CF128" s="732"/>
      <c r="CG128" s="732"/>
      <c r="CH128" s="732"/>
      <c r="CI128" s="732"/>
      <c r="CJ128" s="732"/>
      <c r="CK128" s="732"/>
      <c r="CL128" s="732"/>
      <c r="CM128" s="732"/>
      <c r="CN128" s="732"/>
      <c r="CO128" s="732"/>
      <c r="CP128" s="732"/>
      <c r="CQ128" s="732"/>
      <c r="CR128" s="732"/>
      <c r="CS128" s="732"/>
      <c r="CT128" s="732"/>
      <c r="CU128" s="732"/>
      <c r="CV128" s="732"/>
      <c r="CW128" s="732"/>
      <c r="CX128" s="732"/>
      <c r="CY128" s="732"/>
      <c r="CZ128" s="732"/>
      <c r="DA128" s="732"/>
      <c r="DB128" s="732"/>
      <c r="DC128" s="732"/>
      <c r="DD128" s="732"/>
      <c r="DE128" s="732"/>
      <c r="DF128" s="732"/>
      <c r="DG128" s="732"/>
      <c r="DH128" s="732"/>
      <c r="DI128" s="732"/>
      <c r="DJ128" s="732"/>
      <c r="DK128" s="732"/>
      <c r="DL128" s="732"/>
      <c r="DM128" s="732"/>
      <c r="DN128" s="732"/>
      <c r="DO128" s="732"/>
      <c r="DP128" s="732"/>
      <c r="DQ128" s="732"/>
      <c r="DR128" s="732"/>
      <c r="DS128" s="732"/>
      <c r="DT128" s="732"/>
      <c r="DU128" s="732"/>
      <c r="DV128" s="732"/>
      <c r="DW128" s="732"/>
      <c r="DX128" s="732"/>
      <c r="DY128" s="732"/>
      <c r="DZ128" s="732"/>
      <c r="EA128" s="732"/>
      <c r="EB128" s="732"/>
      <c r="EC128" s="732"/>
      <c r="ED128" s="732"/>
      <c r="EE128" s="732"/>
      <c r="EF128" s="732"/>
      <c r="EG128" s="732"/>
      <c r="EH128" s="732"/>
      <c r="EI128" s="732"/>
      <c r="EJ128" s="732"/>
      <c r="EK128" s="732"/>
      <c r="EL128" s="732"/>
      <c r="EM128" s="732"/>
      <c r="EN128" s="732"/>
      <c r="EO128" s="732"/>
      <c r="EP128" s="732"/>
      <c r="EQ128" s="732"/>
      <c r="ER128" s="732"/>
      <c r="ES128" s="732"/>
      <c r="ET128" s="732"/>
      <c r="EU128" s="732"/>
      <c r="EV128" s="732"/>
      <c r="EW128" s="732"/>
      <c r="EX128" s="732"/>
      <c r="EY128" s="732"/>
      <c r="EZ128" s="732"/>
      <c r="FA128" s="732"/>
      <c r="FB128" s="732"/>
      <c r="FC128" s="732"/>
      <c r="FD128" s="732"/>
      <c r="FE128" s="732"/>
      <c r="FF128" s="732"/>
      <c r="FG128" s="732"/>
      <c r="FH128" s="732"/>
      <c r="FI128" s="732"/>
      <c r="FJ128" s="732"/>
      <c r="FK128" s="732"/>
      <c r="FL128" s="732"/>
      <c r="FM128" s="732"/>
      <c r="FN128" s="732"/>
      <c r="FO128" s="732"/>
      <c r="FP128" s="732"/>
      <c r="FQ128" s="732"/>
      <c r="FR128" s="732"/>
      <c r="FS128" s="732"/>
      <c r="FT128" s="732"/>
      <c r="FU128" s="732"/>
      <c r="FV128" s="732"/>
      <c r="FW128" s="732"/>
      <c r="FX128" s="732"/>
      <c r="FY128" s="732"/>
      <c r="FZ128" s="732"/>
      <c r="GA128" s="732"/>
      <c r="GB128" s="732"/>
      <c r="GC128" s="732"/>
      <c r="GD128" s="732"/>
      <c r="GE128" s="732"/>
      <c r="GF128" s="732"/>
      <c r="GG128" s="732"/>
      <c r="GH128" s="732"/>
      <c r="GI128" s="732"/>
      <c r="GJ128" s="732"/>
      <c r="GK128" s="732"/>
      <c r="GL128" s="732"/>
      <c r="GM128" s="732"/>
      <c r="GN128" s="732"/>
      <c r="GO128" s="732"/>
      <c r="GP128" s="732"/>
      <c r="GQ128" s="732"/>
      <c r="GR128" s="732"/>
      <c r="GS128" s="732"/>
      <c r="GT128" s="732"/>
      <c r="GU128" s="732"/>
      <c r="GV128" s="732"/>
      <c r="GW128" s="732"/>
      <c r="GX128" s="732"/>
      <c r="GY128" s="732"/>
      <c r="GZ128" s="732"/>
      <c r="HA128" s="732"/>
      <c r="HB128" s="732"/>
      <c r="HC128" s="732"/>
      <c r="HD128" s="732"/>
      <c r="HE128" s="732"/>
      <c r="HF128" s="732"/>
      <c r="HG128" s="732"/>
      <c r="HH128" s="732"/>
      <c r="HI128" s="732"/>
      <c r="HJ128" s="732"/>
      <c r="HK128" s="732"/>
      <c r="HL128" s="732"/>
      <c r="HM128" s="732"/>
      <c r="HN128" s="732"/>
      <c r="HO128" s="732"/>
      <c r="HP128" s="732"/>
      <c r="HQ128" s="732"/>
      <c r="HR128" s="732"/>
      <c r="HS128" s="732"/>
      <c r="HT128" s="732"/>
      <c r="HU128" s="732"/>
      <c r="HV128" s="732"/>
      <c r="HW128" s="732"/>
      <c r="HX128" s="732"/>
      <c r="HY128" s="732"/>
      <c r="HZ128" s="732"/>
      <c r="IA128" s="732"/>
      <c r="IB128" s="732"/>
      <c r="IC128" s="732"/>
      <c r="ID128" s="732"/>
      <c r="IE128" s="732"/>
      <c r="IF128" s="732"/>
      <c r="IG128" s="732"/>
      <c r="IH128" s="732"/>
      <c r="II128" s="732"/>
      <c r="IJ128" s="732"/>
      <c r="IK128" s="732"/>
      <c r="IL128" s="732"/>
      <c r="IM128" s="732"/>
      <c r="IN128" s="732"/>
      <c r="IO128" s="732"/>
      <c r="IP128" s="732"/>
      <c r="IQ128" s="732"/>
      <c r="IR128" s="732"/>
      <c r="IS128" s="732"/>
    </row>
    <row r="129" s="563" customFormat="1" ht="15" spans="1:253">
      <c r="A129" s="721"/>
      <c r="B129" s="722" t="s">
        <v>213</v>
      </c>
      <c r="C129" s="723" t="s">
        <v>214</v>
      </c>
      <c r="D129" s="716"/>
      <c r="E129" s="720"/>
      <c r="F129" s="694"/>
      <c r="G129" s="694"/>
      <c r="H129" s="711"/>
      <c r="I129" s="711"/>
      <c r="J129" s="711"/>
      <c r="K129" s="711"/>
      <c r="L129" s="711"/>
      <c r="M129" s="695">
        <f t="shared" ref="M129:M135" si="20">$F$432</f>
        <v>997182.95</v>
      </c>
      <c r="N129" s="729"/>
      <c r="O129" s="729"/>
      <c r="P129" s="729"/>
      <c r="Q129" s="729"/>
      <c r="R129" s="729"/>
      <c r="S129" s="729"/>
      <c r="T129" s="729"/>
      <c r="U129" s="729"/>
      <c r="V129" s="729"/>
      <c r="W129" s="729"/>
      <c r="X129" s="729"/>
      <c r="Y129" s="729"/>
      <c r="Z129" s="729"/>
      <c r="AA129" s="729"/>
      <c r="AB129" s="729"/>
      <c r="AC129" s="729"/>
      <c r="AD129" s="729"/>
      <c r="AE129" s="729"/>
      <c r="AF129" s="729"/>
      <c r="AG129" s="729"/>
      <c r="AH129" s="729"/>
      <c r="AI129" s="729"/>
      <c r="AJ129" s="729"/>
      <c r="AK129" s="729"/>
      <c r="AL129" s="729"/>
      <c r="AM129" s="729"/>
      <c r="AN129" s="729"/>
      <c r="AO129" s="729"/>
      <c r="AP129" s="729"/>
      <c r="AQ129" s="729"/>
      <c r="AR129" s="729"/>
      <c r="AS129" s="729"/>
      <c r="AT129" s="729"/>
      <c r="AU129" s="729"/>
      <c r="AV129" s="729"/>
      <c r="AW129" s="729"/>
      <c r="AX129" s="729"/>
      <c r="AY129" s="729"/>
      <c r="AZ129" s="729"/>
      <c r="BA129" s="729"/>
      <c r="BB129" s="729"/>
      <c r="BC129" s="729"/>
      <c r="BD129" s="729"/>
      <c r="BE129" s="729"/>
      <c r="BF129" s="729"/>
      <c r="BG129" s="729"/>
      <c r="BH129" s="729"/>
      <c r="BI129" s="729"/>
      <c r="BJ129" s="729"/>
      <c r="BK129" s="729"/>
      <c r="BL129" s="729"/>
      <c r="BM129" s="729"/>
      <c r="BN129" s="729"/>
      <c r="BO129" s="729"/>
      <c r="BP129" s="729"/>
      <c r="BQ129" s="729"/>
      <c r="BR129" s="729"/>
      <c r="BS129" s="729"/>
      <c r="BT129" s="729"/>
      <c r="BU129" s="729"/>
      <c r="BV129" s="729"/>
      <c r="BW129" s="732"/>
      <c r="BX129" s="732"/>
      <c r="BY129" s="732"/>
      <c r="BZ129" s="732"/>
      <c r="CA129" s="732"/>
      <c r="CB129" s="732"/>
      <c r="CC129" s="732"/>
      <c r="CD129" s="732"/>
      <c r="CE129" s="732"/>
      <c r="CF129" s="732"/>
      <c r="CG129" s="732"/>
      <c r="CH129" s="732"/>
      <c r="CI129" s="732"/>
      <c r="CJ129" s="732"/>
      <c r="CK129" s="732"/>
      <c r="CL129" s="732"/>
      <c r="CM129" s="732"/>
      <c r="CN129" s="732"/>
      <c r="CO129" s="732"/>
      <c r="CP129" s="732"/>
      <c r="CQ129" s="732"/>
      <c r="CR129" s="732"/>
      <c r="CS129" s="732"/>
      <c r="CT129" s="732"/>
      <c r="CU129" s="732"/>
      <c r="CV129" s="732"/>
      <c r="CW129" s="732"/>
      <c r="CX129" s="732"/>
      <c r="CY129" s="732"/>
      <c r="CZ129" s="732"/>
      <c r="DA129" s="732"/>
      <c r="DB129" s="732"/>
      <c r="DC129" s="732"/>
      <c r="DD129" s="732"/>
      <c r="DE129" s="732"/>
      <c r="DF129" s="732"/>
      <c r="DG129" s="732"/>
      <c r="DH129" s="732"/>
      <c r="DI129" s="732"/>
      <c r="DJ129" s="732"/>
      <c r="DK129" s="732"/>
      <c r="DL129" s="732"/>
      <c r="DM129" s="732"/>
      <c r="DN129" s="732"/>
      <c r="DO129" s="732"/>
      <c r="DP129" s="732"/>
      <c r="DQ129" s="732"/>
      <c r="DR129" s="732"/>
      <c r="DS129" s="732"/>
      <c r="DT129" s="732"/>
      <c r="DU129" s="732"/>
      <c r="DV129" s="732"/>
      <c r="DW129" s="732"/>
      <c r="DX129" s="732"/>
      <c r="DY129" s="732"/>
      <c r="DZ129" s="732"/>
      <c r="EA129" s="732"/>
      <c r="EB129" s="732"/>
      <c r="EC129" s="732"/>
      <c r="ED129" s="732"/>
      <c r="EE129" s="732"/>
      <c r="EF129" s="732"/>
      <c r="EG129" s="732"/>
      <c r="EH129" s="732"/>
      <c r="EI129" s="732"/>
      <c r="EJ129" s="732"/>
      <c r="EK129" s="732"/>
      <c r="EL129" s="732"/>
      <c r="EM129" s="732"/>
      <c r="EN129" s="732"/>
      <c r="EO129" s="732"/>
      <c r="EP129" s="732"/>
      <c r="EQ129" s="732"/>
      <c r="ER129" s="732"/>
      <c r="ES129" s="732"/>
      <c r="ET129" s="732"/>
      <c r="EU129" s="732"/>
      <c r="EV129" s="732"/>
      <c r="EW129" s="732"/>
      <c r="EX129" s="732"/>
      <c r="EY129" s="732"/>
      <c r="EZ129" s="732"/>
      <c r="FA129" s="732"/>
      <c r="FB129" s="732"/>
      <c r="FC129" s="732"/>
      <c r="FD129" s="732"/>
      <c r="FE129" s="732"/>
      <c r="FF129" s="732"/>
      <c r="FG129" s="732"/>
      <c r="FH129" s="732"/>
      <c r="FI129" s="732"/>
      <c r="FJ129" s="732"/>
      <c r="FK129" s="732"/>
      <c r="FL129" s="732"/>
      <c r="FM129" s="732"/>
      <c r="FN129" s="732"/>
      <c r="FO129" s="732"/>
      <c r="FP129" s="732"/>
      <c r="FQ129" s="732"/>
      <c r="FR129" s="732"/>
      <c r="FS129" s="732"/>
      <c r="FT129" s="732"/>
      <c r="FU129" s="732"/>
      <c r="FV129" s="732"/>
      <c r="FW129" s="732"/>
      <c r="FX129" s="732"/>
      <c r="FY129" s="732"/>
      <c r="FZ129" s="732"/>
      <c r="GA129" s="732"/>
      <c r="GB129" s="732"/>
      <c r="GC129" s="732"/>
      <c r="GD129" s="732"/>
      <c r="GE129" s="732"/>
      <c r="GF129" s="732"/>
      <c r="GG129" s="732"/>
      <c r="GH129" s="732"/>
      <c r="GI129" s="732"/>
      <c r="GJ129" s="732"/>
      <c r="GK129" s="732"/>
      <c r="GL129" s="732"/>
      <c r="GM129" s="732"/>
      <c r="GN129" s="732"/>
      <c r="GO129" s="732"/>
      <c r="GP129" s="732"/>
      <c r="GQ129" s="732"/>
      <c r="GR129" s="732"/>
      <c r="GS129" s="732"/>
      <c r="GT129" s="732"/>
      <c r="GU129" s="732"/>
      <c r="GV129" s="732"/>
      <c r="GW129" s="732"/>
      <c r="GX129" s="732"/>
      <c r="GY129" s="732"/>
      <c r="GZ129" s="732"/>
      <c r="HA129" s="732"/>
      <c r="HB129" s="732"/>
      <c r="HC129" s="732"/>
      <c r="HD129" s="732"/>
      <c r="HE129" s="732"/>
      <c r="HF129" s="732"/>
      <c r="HG129" s="732"/>
      <c r="HH129" s="732"/>
      <c r="HI129" s="732"/>
      <c r="HJ129" s="732"/>
      <c r="HK129" s="732"/>
      <c r="HL129" s="732"/>
      <c r="HM129" s="732"/>
      <c r="HN129" s="732"/>
      <c r="HO129" s="732"/>
      <c r="HP129" s="732"/>
      <c r="HQ129" s="732"/>
      <c r="HR129" s="732"/>
      <c r="HS129" s="732"/>
      <c r="HT129" s="732"/>
      <c r="HU129" s="732"/>
      <c r="HV129" s="732"/>
      <c r="HW129" s="732"/>
      <c r="HX129" s="732"/>
      <c r="HY129" s="732"/>
      <c r="HZ129" s="732"/>
      <c r="IA129" s="732"/>
      <c r="IB129" s="732"/>
      <c r="IC129" s="732"/>
      <c r="ID129" s="732"/>
      <c r="IE129" s="732"/>
      <c r="IF129" s="732"/>
      <c r="IG129" s="732"/>
      <c r="IH129" s="732"/>
      <c r="II129" s="732"/>
      <c r="IJ129" s="732"/>
      <c r="IK129" s="732"/>
      <c r="IL129" s="732"/>
      <c r="IM129" s="732"/>
      <c r="IN129" s="732"/>
      <c r="IO129" s="732"/>
      <c r="IP129" s="732"/>
      <c r="IQ129" s="732"/>
      <c r="IR129" s="732"/>
      <c r="IS129" s="732"/>
    </row>
    <row r="130" s="563" customFormat="1" ht="15" spans="1:253">
      <c r="A130" s="719" t="s">
        <v>114</v>
      </c>
      <c r="B130" s="657" t="s">
        <v>215</v>
      </c>
      <c r="C130" s="698" t="s">
        <v>141</v>
      </c>
      <c r="D130" s="716" t="s">
        <v>23</v>
      </c>
      <c r="E130" s="720">
        <f>'PB VI - Memorial'!B128</f>
        <v>0.5</v>
      </c>
      <c r="F130" s="694">
        <f>F123</f>
        <v>393.85</v>
      </c>
      <c r="G130" s="694">
        <f t="shared" si="5"/>
        <v>196.93</v>
      </c>
      <c r="H130" s="711"/>
      <c r="I130" s="711"/>
      <c r="J130" s="711"/>
      <c r="K130" s="711"/>
      <c r="L130" s="711"/>
      <c r="M130" s="695">
        <f t="shared" si="20"/>
        <v>997182.95</v>
      </c>
      <c r="N130" s="729"/>
      <c r="O130" s="729"/>
      <c r="P130" s="729"/>
      <c r="Q130" s="729"/>
      <c r="R130" s="729"/>
      <c r="S130" s="729"/>
      <c r="T130" s="729"/>
      <c r="U130" s="729"/>
      <c r="V130" s="729"/>
      <c r="W130" s="729"/>
      <c r="X130" s="729"/>
      <c r="Y130" s="729"/>
      <c r="Z130" s="729"/>
      <c r="AA130" s="729"/>
      <c r="AB130" s="729"/>
      <c r="AC130" s="729"/>
      <c r="AD130" s="729"/>
      <c r="AE130" s="729"/>
      <c r="AF130" s="729"/>
      <c r="AG130" s="729"/>
      <c r="AH130" s="729"/>
      <c r="AI130" s="729"/>
      <c r="AJ130" s="729"/>
      <c r="AK130" s="729"/>
      <c r="AL130" s="729"/>
      <c r="AM130" s="729"/>
      <c r="AN130" s="729"/>
      <c r="AO130" s="729"/>
      <c r="AP130" s="729"/>
      <c r="AQ130" s="729"/>
      <c r="AR130" s="729"/>
      <c r="AS130" s="729"/>
      <c r="AT130" s="729"/>
      <c r="AU130" s="729"/>
      <c r="AV130" s="729"/>
      <c r="AW130" s="729"/>
      <c r="AX130" s="729"/>
      <c r="AY130" s="729"/>
      <c r="AZ130" s="729"/>
      <c r="BA130" s="729"/>
      <c r="BB130" s="729"/>
      <c r="BC130" s="729"/>
      <c r="BD130" s="729"/>
      <c r="BE130" s="729"/>
      <c r="BF130" s="729"/>
      <c r="BG130" s="729"/>
      <c r="BH130" s="729"/>
      <c r="BI130" s="729"/>
      <c r="BJ130" s="729"/>
      <c r="BK130" s="729"/>
      <c r="BL130" s="729"/>
      <c r="BM130" s="729"/>
      <c r="BN130" s="729"/>
      <c r="BO130" s="729"/>
      <c r="BP130" s="729"/>
      <c r="BQ130" s="729"/>
      <c r="BR130" s="729"/>
      <c r="BS130" s="729"/>
      <c r="BT130" s="729"/>
      <c r="BU130" s="729"/>
      <c r="BV130" s="729"/>
      <c r="BW130" s="732"/>
      <c r="BX130" s="732"/>
      <c r="BY130" s="732"/>
      <c r="BZ130" s="732"/>
      <c r="CA130" s="732"/>
      <c r="CB130" s="732"/>
      <c r="CC130" s="732"/>
      <c r="CD130" s="732"/>
      <c r="CE130" s="732"/>
      <c r="CF130" s="732"/>
      <c r="CG130" s="732"/>
      <c r="CH130" s="732"/>
      <c r="CI130" s="732"/>
      <c r="CJ130" s="732"/>
      <c r="CK130" s="732"/>
      <c r="CL130" s="732"/>
      <c r="CM130" s="732"/>
      <c r="CN130" s="732"/>
      <c r="CO130" s="732"/>
      <c r="CP130" s="732"/>
      <c r="CQ130" s="732"/>
      <c r="CR130" s="732"/>
      <c r="CS130" s="732"/>
      <c r="CT130" s="732"/>
      <c r="CU130" s="732"/>
      <c r="CV130" s="732"/>
      <c r="CW130" s="732"/>
      <c r="CX130" s="732"/>
      <c r="CY130" s="732"/>
      <c r="CZ130" s="732"/>
      <c r="DA130" s="732"/>
      <c r="DB130" s="732"/>
      <c r="DC130" s="732"/>
      <c r="DD130" s="732"/>
      <c r="DE130" s="732"/>
      <c r="DF130" s="732"/>
      <c r="DG130" s="732"/>
      <c r="DH130" s="732"/>
      <c r="DI130" s="732"/>
      <c r="DJ130" s="732"/>
      <c r="DK130" s="732"/>
      <c r="DL130" s="732"/>
      <c r="DM130" s="732"/>
      <c r="DN130" s="732"/>
      <c r="DO130" s="732"/>
      <c r="DP130" s="732"/>
      <c r="DQ130" s="732"/>
      <c r="DR130" s="732"/>
      <c r="DS130" s="732"/>
      <c r="DT130" s="732"/>
      <c r="DU130" s="732"/>
      <c r="DV130" s="732"/>
      <c r="DW130" s="732"/>
      <c r="DX130" s="732"/>
      <c r="DY130" s="732"/>
      <c r="DZ130" s="732"/>
      <c r="EA130" s="732"/>
      <c r="EB130" s="732"/>
      <c r="EC130" s="732"/>
      <c r="ED130" s="732"/>
      <c r="EE130" s="732"/>
      <c r="EF130" s="732"/>
      <c r="EG130" s="732"/>
      <c r="EH130" s="732"/>
      <c r="EI130" s="732"/>
      <c r="EJ130" s="732"/>
      <c r="EK130" s="732"/>
      <c r="EL130" s="732"/>
      <c r="EM130" s="732"/>
      <c r="EN130" s="732"/>
      <c r="EO130" s="732"/>
      <c r="EP130" s="732"/>
      <c r="EQ130" s="732"/>
      <c r="ER130" s="732"/>
      <c r="ES130" s="732"/>
      <c r="ET130" s="732"/>
      <c r="EU130" s="732"/>
      <c r="EV130" s="732"/>
      <c r="EW130" s="732"/>
      <c r="EX130" s="732"/>
      <c r="EY130" s="732"/>
      <c r="EZ130" s="732"/>
      <c r="FA130" s="732"/>
      <c r="FB130" s="732"/>
      <c r="FC130" s="732"/>
      <c r="FD130" s="732"/>
      <c r="FE130" s="732"/>
      <c r="FF130" s="732"/>
      <c r="FG130" s="732"/>
      <c r="FH130" s="732"/>
      <c r="FI130" s="732"/>
      <c r="FJ130" s="732"/>
      <c r="FK130" s="732"/>
      <c r="FL130" s="732"/>
      <c r="FM130" s="732"/>
      <c r="FN130" s="732"/>
      <c r="FO130" s="732"/>
      <c r="FP130" s="732"/>
      <c r="FQ130" s="732"/>
      <c r="FR130" s="732"/>
      <c r="FS130" s="732"/>
      <c r="FT130" s="732"/>
      <c r="FU130" s="732"/>
      <c r="FV130" s="732"/>
      <c r="FW130" s="732"/>
      <c r="FX130" s="732"/>
      <c r="FY130" s="732"/>
      <c r="FZ130" s="732"/>
      <c r="GA130" s="732"/>
      <c r="GB130" s="732"/>
      <c r="GC130" s="732"/>
      <c r="GD130" s="732"/>
      <c r="GE130" s="732"/>
      <c r="GF130" s="732"/>
      <c r="GG130" s="732"/>
      <c r="GH130" s="732"/>
      <c r="GI130" s="732"/>
      <c r="GJ130" s="732"/>
      <c r="GK130" s="732"/>
      <c r="GL130" s="732"/>
      <c r="GM130" s="732"/>
      <c r="GN130" s="732"/>
      <c r="GO130" s="732"/>
      <c r="GP130" s="732"/>
      <c r="GQ130" s="732"/>
      <c r="GR130" s="732"/>
      <c r="GS130" s="732"/>
      <c r="GT130" s="732"/>
      <c r="GU130" s="732"/>
      <c r="GV130" s="732"/>
      <c r="GW130" s="732"/>
      <c r="GX130" s="732"/>
      <c r="GY130" s="732"/>
      <c r="GZ130" s="732"/>
      <c r="HA130" s="732"/>
      <c r="HB130" s="732"/>
      <c r="HC130" s="732"/>
      <c r="HD130" s="732"/>
      <c r="HE130" s="732"/>
      <c r="HF130" s="732"/>
      <c r="HG130" s="732"/>
      <c r="HH130" s="732"/>
      <c r="HI130" s="732"/>
      <c r="HJ130" s="732"/>
      <c r="HK130" s="732"/>
      <c r="HL130" s="732"/>
      <c r="HM130" s="732"/>
      <c r="HN130" s="732"/>
      <c r="HO130" s="732"/>
      <c r="HP130" s="732"/>
      <c r="HQ130" s="732"/>
      <c r="HR130" s="732"/>
      <c r="HS130" s="732"/>
      <c r="HT130" s="732"/>
      <c r="HU130" s="732"/>
      <c r="HV130" s="732"/>
      <c r="HW130" s="732"/>
      <c r="HX130" s="732"/>
      <c r="HY130" s="732"/>
      <c r="HZ130" s="732"/>
      <c r="IA130" s="732"/>
      <c r="IB130" s="732"/>
      <c r="IC130" s="732"/>
      <c r="ID130" s="732"/>
      <c r="IE130" s="732"/>
      <c r="IF130" s="732"/>
      <c r="IG130" s="732"/>
      <c r="IH130" s="732"/>
      <c r="II130" s="732"/>
      <c r="IJ130" s="732"/>
      <c r="IK130" s="732"/>
      <c r="IL130" s="732"/>
      <c r="IM130" s="732"/>
      <c r="IN130" s="732"/>
      <c r="IO130" s="732"/>
      <c r="IP130" s="732"/>
      <c r="IQ130" s="732"/>
      <c r="IR130" s="732"/>
      <c r="IS130" s="732"/>
    </row>
    <row r="131" s="563" customFormat="1" ht="15" spans="1:253">
      <c r="A131" s="719" t="s">
        <v>64</v>
      </c>
      <c r="B131" s="657" t="s">
        <v>216</v>
      </c>
      <c r="C131" s="698" t="s">
        <v>118</v>
      </c>
      <c r="D131" s="716" t="s">
        <v>23</v>
      </c>
      <c r="E131" s="720">
        <f>E130</f>
        <v>0.5</v>
      </c>
      <c r="F131" s="694">
        <f>F124</f>
        <v>143.94</v>
      </c>
      <c r="G131" s="694">
        <f t="shared" si="5"/>
        <v>71.97</v>
      </c>
      <c r="H131" s="711"/>
      <c r="I131" s="711"/>
      <c r="J131" s="711"/>
      <c r="K131" s="711"/>
      <c r="L131" s="711"/>
      <c r="M131" s="695">
        <f t="shared" si="20"/>
        <v>997182.95</v>
      </c>
      <c r="N131" s="729"/>
      <c r="O131" s="729"/>
      <c r="P131" s="729"/>
      <c r="Q131" s="729"/>
      <c r="R131" s="729"/>
      <c r="S131" s="729"/>
      <c r="T131" s="729"/>
      <c r="U131" s="729"/>
      <c r="V131" s="729"/>
      <c r="W131" s="729"/>
      <c r="X131" s="729"/>
      <c r="Y131" s="729"/>
      <c r="Z131" s="729"/>
      <c r="AA131" s="729"/>
      <c r="AB131" s="729"/>
      <c r="AC131" s="729"/>
      <c r="AD131" s="729"/>
      <c r="AE131" s="729"/>
      <c r="AF131" s="729"/>
      <c r="AG131" s="729"/>
      <c r="AH131" s="729"/>
      <c r="AI131" s="729"/>
      <c r="AJ131" s="729"/>
      <c r="AK131" s="729"/>
      <c r="AL131" s="729"/>
      <c r="AM131" s="729"/>
      <c r="AN131" s="729"/>
      <c r="AO131" s="729"/>
      <c r="AP131" s="729"/>
      <c r="AQ131" s="729"/>
      <c r="AR131" s="729"/>
      <c r="AS131" s="729"/>
      <c r="AT131" s="729"/>
      <c r="AU131" s="729"/>
      <c r="AV131" s="729"/>
      <c r="AW131" s="729"/>
      <c r="AX131" s="729"/>
      <c r="AY131" s="729"/>
      <c r="AZ131" s="729"/>
      <c r="BA131" s="729"/>
      <c r="BB131" s="729"/>
      <c r="BC131" s="729"/>
      <c r="BD131" s="729"/>
      <c r="BE131" s="729"/>
      <c r="BF131" s="729"/>
      <c r="BG131" s="729"/>
      <c r="BH131" s="729"/>
      <c r="BI131" s="729"/>
      <c r="BJ131" s="729"/>
      <c r="BK131" s="729"/>
      <c r="BL131" s="729"/>
      <c r="BM131" s="729"/>
      <c r="BN131" s="729"/>
      <c r="BO131" s="729"/>
      <c r="BP131" s="729"/>
      <c r="BQ131" s="729"/>
      <c r="BR131" s="729"/>
      <c r="BS131" s="729"/>
      <c r="BT131" s="729"/>
      <c r="BU131" s="729"/>
      <c r="BV131" s="729"/>
      <c r="BW131" s="732"/>
      <c r="BX131" s="732"/>
      <c r="BY131" s="732"/>
      <c r="BZ131" s="732"/>
      <c r="CA131" s="732"/>
      <c r="CB131" s="732"/>
      <c r="CC131" s="732"/>
      <c r="CD131" s="732"/>
      <c r="CE131" s="732"/>
      <c r="CF131" s="732"/>
      <c r="CG131" s="732"/>
      <c r="CH131" s="732"/>
      <c r="CI131" s="732"/>
      <c r="CJ131" s="732"/>
      <c r="CK131" s="732"/>
      <c r="CL131" s="732"/>
      <c r="CM131" s="732"/>
      <c r="CN131" s="732"/>
      <c r="CO131" s="732"/>
      <c r="CP131" s="732"/>
      <c r="CQ131" s="732"/>
      <c r="CR131" s="732"/>
      <c r="CS131" s="732"/>
      <c r="CT131" s="732"/>
      <c r="CU131" s="732"/>
      <c r="CV131" s="732"/>
      <c r="CW131" s="732"/>
      <c r="CX131" s="732"/>
      <c r="CY131" s="732"/>
      <c r="CZ131" s="732"/>
      <c r="DA131" s="732"/>
      <c r="DB131" s="732"/>
      <c r="DC131" s="732"/>
      <c r="DD131" s="732"/>
      <c r="DE131" s="732"/>
      <c r="DF131" s="732"/>
      <c r="DG131" s="732"/>
      <c r="DH131" s="732"/>
      <c r="DI131" s="732"/>
      <c r="DJ131" s="732"/>
      <c r="DK131" s="732"/>
      <c r="DL131" s="732"/>
      <c r="DM131" s="732"/>
      <c r="DN131" s="732"/>
      <c r="DO131" s="732"/>
      <c r="DP131" s="732"/>
      <c r="DQ131" s="732"/>
      <c r="DR131" s="732"/>
      <c r="DS131" s="732"/>
      <c r="DT131" s="732"/>
      <c r="DU131" s="732"/>
      <c r="DV131" s="732"/>
      <c r="DW131" s="732"/>
      <c r="DX131" s="732"/>
      <c r="DY131" s="732"/>
      <c r="DZ131" s="732"/>
      <c r="EA131" s="732"/>
      <c r="EB131" s="732"/>
      <c r="EC131" s="732"/>
      <c r="ED131" s="732"/>
      <c r="EE131" s="732"/>
      <c r="EF131" s="732"/>
      <c r="EG131" s="732"/>
      <c r="EH131" s="732"/>
      <c r="EI131" s="732"/>
      <c r="EJ131" s="732"/>
      <c r="EK131" s="732"/>
      <c r="EL131" s="732"/>
      <c r="EM131" s="732"/>
      <c r="EN131" s="732"/>
      <c r="EO131" s="732"/>
      <c r="EP131" s="732"/>
      <c r="EQ131" s="732"/>
      <c r="ER131" s="732"/>
      <c r="ES131" s="732"/>
      <c r="ET131" s="732"/>
      <c r="EU131" s="732"/>
      <c r="EV131" s="732"/>
      <c r="EW131" s="732"/>
      <c r="EX131" s="732"/>
      <c r="EY131" s="732"/>
      <c r="EZ131" s="732"/>
      <c r="FA131" s="732"/>
      <c r="FB131" s="732"/>
      <c r="FC131" s="732"/>
      <c r="FD131" s="732"/>
      <c r="FE131" s="732"/>
      <c r="FF131" s="732"/>
      <c r="FG131" s="732"/>
      <c r="FH131" s="732"/>
      <c r="FI131" s="732"/>
      <c r="FJ131" s="732"/>
      <c r="FK131" s="732"/>
      <c r="FL131" s="732"/>
      <c r="FM131" s="732"/>
      <c r="FN131" s="732"/>
      <c r="FO131" s="732"/>
      <c r="FP131" s="732"/>
      <c r="FQ131" s="732"/>
      <c r="FR131" s="732"/>
      <c r="FS131" s="732"/>
      <c r="FT131" s="732"/>
      <c r="FU131" s="732"/>
      <c r="FV131" s="732"/>
      <c r="FW131" s="732"/>
      <c r="FX131" s="732"/>
      <c r="FY131" s="732"/>
      <c r="FZ131" s="732"/>
      <c r="GA131" s="732"/>
      <c r="GB131" s="732"/>
      <c r="GC131" s="732"/>
      <c r="GD131" s="732"/>
      <c r="GE131" s="732"/>
      <c r="GF131" s="732"/>
      <c r="GG131" s="732"/>
      <c r="GH131" s="732"/>
      <c r="GI131" s="732"/>
      <c r="GJ131" s="732"/>
      <c r="GK131" s="732"/>
      <c r="GL131" s="732"/>
      <c r="GM131" s="732"/>
      <c r="GN131" s="732"/>
      <c r="GO131" s="732"/>
      <c r="GP131" s="732"/>
      <c r="GQ131" s="732"/>
      <c r="GR131" s="732"/>
      <c r="GS131" s="732"/>
      <c r="GT131" s="732"/>
      <c r="GU131" s="732"/>
      <c r="GV131" s="732"/>
      <c r="GW131" s="732"/>
      <c r="GX131" s="732"/>
      <c r="GY131" s="732"/>
      <c r="GZ131" s="732"/>
      <c r="HA131" s="732"/>
      <c r="HB131" s="732"/>
      <c r="HC131" s="732"/>
      <c r="HD131" s="732"/>
      <c r="HE131" s="732"/>
      <c r="HF131" s="732"/>
      <c r="HG131" s="732"/>
      <c r="HH131" s="732"/>
      <c r="HI131" s="732"/>
      <c r="HJ131" s="732"/>
      <c r="HK131" s="732"/>
      <c r="HL131" s="732"/>
      <c r="HM131" s="732"/>
      <c r="HN131" s="732"/>
      <c r="HO131" s="732"/>
      <c r="HP131" s="732"/>
      <c r="HQ131" s="732"/>
      <c r="HR131" s="732"/>
      <c r="HS131" s="732"/>
      <c r="HT131" s="732"/>
      <c r="HU131" s="732"/>
      <c r="HV131" s="732"/>
      <c r="HW131" s="732"/>
      <c r="HX131" s="732"/>
      <c r="HY131" s="732"/>
      <c r="HZ131" s="732"/>
      <c r="IA131" s="732"/>
      <c r="IB131" s="732"/>
      <c r="IC131" s="732"/>
      <c r="ID131" s="732"/>
      <c r="IE131" s="732"/>
      <c r="IF131" s="732"/>
      <c r="IG131" s="732"/>
      <c r="IH131" s="732"/>
      <c r="II131" s="732"/>
      <c r="IJ131" s="732"/>
      <c r="IK131" s="732"/>
      <c r="IL131" s="732"/>
      <c r="IM131" s="732"/>
      <c r="IN131" s="732"/>
      <c r="IO131" s="732"/>
      <c r="IP131" s="732"/>
      <c r="IQ131" s="732"/>
      <c r="IR131" s="732"/>
      <c r="IS131" s="732"/>
    </row>
    <row r="132" s="563" customFormat="1" ht="15" spans="1:253">
      <c r="A132" s="719" t="s">
        <v>180</v>
      </c>
      <c r="B132" s="657" t="s">
        <v>217</v>
      </c>
      <c r="C132" s="698" t="s">
        <v>172</v>
      </c>
      <c r="D132" s="716" t="s">
        <v>17</v>
      </c>
      <c r="E132" s="720">
        <f>'PB VI - Memorial'!C128</f>
        <v>8.81</v>
      </c>
      <c r="F132" s="694">
        <v>73.63</v>
      </c>
      <c r="G132" s="694">
        <f t="shared" si="5"/>
        <v>648.68</v>
      </c>
      <c r="H132" s="711"/>
      <c r="I132" s="711"/>
      <c r="J132" s="711"/>
      <c r="K132" s="711"/>
      <c r="L132" s="711"/>
      <c r="M132" s="695">
        <f t="shared" si="20"/>
        <v>997182.95</v>
      </c>
      <c r="N132" s="729"/>
      <c r="O132" s="729"/>
      <c r="P132" s="729"/>
      <c r="Q132" s="729"/>
      <c r="R132" s="729"/>
      <c r="S132" s="729"/>
      <c r="T132" s="729"/>
      <c r="U132" s="729"/>
      <c r="V132" s="729"/>
      <c r="W132" s="729"/>
      <c r="X132" s="729"/>
      <c r="Y132" s="729"/>
      <c r="Z132" s="729"/>
      <c r="AA132" s="729"/>
      <c r="AB132" s="729"/>
      <c r="AC132" s="729"/>
      <c r="AD132" s="729"/>
      <c r="AE132" s="729"/>
      <c r="AF132" s="729"/>
      <c r="AG132" s="729"/>
      <c r="AH132" s="729"/>
      <c r="AI132" s="729"/>
      <c r="AJ132" s="729"/>
      <c r="AK132" s="729"/>
      <c r="AL132" s="729"/>
      <c r="AM132" s="729"/>
      <c r="AN132" s="729"/>
      <c r="AO132" s="729"/>
      <c r="AP132" s="729"/>
      <c r="AQ132" s="729"/>
      <c r="AR132" s="729"/>
      <c r="AS132" s="729"/>
      <c r="AT132" s="729"/>
      <c r="AU132" s="729"/>
      <c r="AV132" s="729"/>
      <c r="AW132" s="729"/>
      <c r="AX132" s="729"/>
      <c r="AY132" s="729"/>
      <c r="AZ132" s="729"/>
      <c r="BA132" s="729"/>
      <c r="BB132" s="729"/>
      <c r="BC132" s="729"/>
      <c r="BD132" s="729"/>
      <c r="BE132" s="729"/>
      <c r="BF132" s="729"/>
      <c r="BG132" s="729"/>
      <c r="BH132" s="729"/>
      <c r="BI132" s="729"/>
      <c r="BJ132" s="729"/>
      <c r="BK132" s="729"/>
      <c r="BL132" s="729"/>
      <c r="BM132" s="729"/>
      <c r="BN132" s="729"/>
      <c r="BO132" s="729"/>
      <c r="BP132" s="729"/>
      <c r="BQ132" s="729"/>
      <c r="BR132" s="729"/>
      <c r="BS132" s="729"/>
      <c r="BT132" s="729"/>
      <c r="BU132" s="729"/>
      <c r="BV132" s="729"/>
      <c r="BW132" s="732"/>
      <c r="BX132" s="732"/>
      <c r="BY132" s="732"/>
      <c r="BZ132" s="732"/>
      <c r="CA132" s="732"/>
      <c r="CB132" s="732"/>
      <c r="CC132" s="732"/>
      <c r="CD132" s="732"/>
      <c r="CE132" s="732"/>
      <c r="CF132" s="732"/>
      <c r="CG132" s="732"/>
      <c r="CH132" s="732"/>
      <c r="CI132" s="732"/>
      <c r="CJ132" s="732"/>
      <c r="CK132" s="732"/>
      <c r="CL132" s="732"/>
      <c r="CM132" s="732"/>
      <c r="CN132" s="732"/>
      <c r="CO132" s="732"/>
      <c r="CP132" s="732"/>
      <c r="CQ132" s="732"/>
      <c r="CR132" s="732"/>
      <c r="CS132" s="732"/>
      <c r="CT132" s="732"/>
      <c r="CU132" s="732"/>
      <c r="CV132" s="732"/>
      <c r="CW132" s="732"/>
      <c r="CX132" s="732"/>
      <c r="CY132" s="732"/>
      <c r="CZ132" s="732"/>
      <c r="DA132" s="732"/>
      <c r="DB132" s="732"/>
      <c r="DC132" s="732"/>
      <c r="DD132" s="732"/>
      <c r="DE132" s="732"/>
      <c r="DF132" s="732"/>
      <c r="DG132" s="732"/>
      <c r="DH132" s="732"/>
      <c r="DI132" s="732"/>
      <c r="DJ132" s="732"/>
      <c r="DK132" s="732"/>
      <c r="DL132" s="732"/>
      <c r="DM132" s="732"/>
      <c r="DN132" s="732"/>
      <c r="DO132" s="732"/>
      <c r="DP132" s="732"/>
      <c r="DQ132" s="732"/>
      <c r="DR132" s="732"/>
      <c r="DS132" s="732"/>
      <c r="DT132" s="732"/>
      <c r="DU132" s="732"/>
      <c r="DV132" s="732"/>
      <c r="DW132" s="732"/>
      <c r="DX132" s="732"/>
      <c r="DY132" s="732"/>
      <c r="DZ132" s="732"/>
      <c r="EA132" s="732"/>
      <c r="EB132" s="732"/>
      <c r="EC132" s="732"/>
      <c r="ED132" s="732"/>
      <c r="EE132" s="732"/>
      <c r="EF132" s="732"/>
      <c r="EG132" s="732"/>
      <c r="EH132" s="732"/>
      <c r="EI132" s="732"/>
      <c r="EJ132" s="732"/>
      <c r="EK132" s="732"/>
      <c r="EL132" s="732"/>
      <c r="EM132" s="732"/>
      <c r="EN132" s="732"/>
      <c r="EO132" s="732"/>
      <c r="EP132" s="732"/>
      <c r="EQ132" s="732"/>
      <c r="ER132" s="732"/>
      <c r="ES132" s="732"/>
      <c r="ET132" s="732"/>
      <c r="EU132" s="732"/>
      <c r="EV132" s="732"/>
      <c r="EW132" s="732"/>
      <c r="EX132" s="732"/>
      <c r="EY132" s="732"/>
      <c r="EZ132" s="732"/>
      <c r="FA132" s="732"/>
      <c r="FB132" s="732"/>
      <c r="FC132" s="732"/>
      <c r="FD132" s="732"/>
      <c r="FE132" s="732"/>
      <c r="FF132" s="732"/>
      <c r="FG132" s="732"/>
      <c r="FH132" s="732"/>
      <c r="FI132" s="732"/>
      <c r="FJ132" s="732"/>
      <c r="FK132" s="732"/>
      <c r="FL132" s="732"/>
      <c r="FM132" s="732"/>
      <c r="FN132" s="732"/>
      <c r="FO132" s="732"/>
      <c r="FP132" s="732"/>
      <c r="FQ132" s="732"/>
      <c r="FR132" s="732"/>
      <c r="FS132" s="732"/>
      <c r="FT132" s="732"/>
      <c r="FU132" s="732"/>
      <c r="FV132" s="732"/>
      <c r="FW132" s="732"/>
      <c r="FX132" s="732"/>
      <c r="FY132" s="732"/>
      <c r="FZ132" s="732"/>
      <c r="GA132" s="732"/>
      <c r="GB132" s="732"/>
      <c r="GC132" s="732"/>
      <c r="GD132" s="732"/>
      <c r="GE132" s="732"/>
      <c r="GF132" s="732"/>
      <c r="GG132" s="732"/>
      <c r="GH132" s="732"/>
      <c r="GI132" s="732"/>
      <c r="GJ132" s="732"/>
      <c r="GK132" s="732"/>
      <c r="GL132" s="732"/>
      <c r="GM132" s="732"/>
      <c r="GN132" s="732"/>
      <c r="GO132" s="732"/>
      <c r="GP132" s="732"/>
      <c r="GQ132" s="732"/>
      <c r="GR132" s="732"/>
      <c r="GS132" s="732"/>
      <c r="GT132" s="732"/>
      <c r="GU132" s="732"/>
      <c r="GV132" s="732"/>
      <c r="GW132" s="732"/>
      <c r="GX132" s="732"/>
      <c r="GY132" s="732"/>
      <c r="GZ132" s="732"/>
      <c r="HA132" s="732"/>
      <c r="HB132" s="732"/>
      <c r="HC132" s="732"/>
      <c r="HD132" s="732"/>
      <c r="HE132" s="732"/>
      <c r="HF132" s="732"/>
      <c r="HG132" s="732"/>
      <c r="HH132" s="732"/>
      <c r="HI132" s="732"/>
      <c r="HJ132" s="732"/>
      <c r="HK132" s="732"/>
      <c r="HL132" s="732"/>
      <c r="HM132" s="732"/>
      <c r="HN132" s="732"/>
      <c r="HO132" s="732"/>
      <c r="HP132" s="732"/>
      <c r="HQ132" s="732"/>
      <c r="HR132" s="732"/>
      <c r="HS132" s="732"/>
      <c r="HT132" s="732"/>
      <c r="HU132" s="732"/>
      <c r="HV132" s="732"/>
      <c r="HW132" s="732"/>
      <c r="HX132" s="732"/>
      <c r="HY132" s="732"/>
      <c r="HZ132" s="732"/>
      <c r="IA132" s="732"/>
      <c r="IB132" s="732"/>
      <c r="IC132" s="732"/>
      <c r="ID132" s="732"/>
      <c r="IE132" s="732"/>
      <c r="IF132" s="732"/>
      <c r="IG132" s="732"/>
      <c r="IH132" s="732"/>
      <c r="II132" s="732"/>
      <c r="IJ132" s="732"/>
      <c r="IK132" s="732"/>
      <c r="IL132" s="732"/>
      <c r="IM132" s="732"/>
      <c r="IN132" s="732"/>
      <c r="IO132" s="732"/>
      <c r="IP132" s="732"/>
      <c r="IQ132" s="732"/>
      <c r="IR132" s="732"/>
      <c r="IS132" s="732"/>
    </row>
    <row r="133" s="563" customFormat="1" ht="15" spans="1:253">
      <c r="A133" s="719" t="s">
        <v>145</v>
      </c>
      <c r="B133" s="657" t="s">
        <v>218</v>
      </c>
      <c r="C133" s="698" t="s">
        <v>123</v>
      </c>
      <c r="D133" s="716" t="s">
        <v>69</v>
      </c>
      <c r="E133" s="720">
        <f>'PB VI - Memorial'!B130</f>
        <v>0.36</v>
      </c>
      <c r="F133" s="694">
        <v>11.92</v>
      </c>
      <c r="G133" s="694">
        <f t="shared" ref="G133" si="21">ROUND(E133*F133,2)</f>
        <v>4.29</v>
      </c>
      <c r="H133" s="711"/>
      <c r="I133" s="711"/>
      <c r="J133" s="711"/>
      <c r="K133" s="711"/>
      <c r="L133" s="711"/>
      <c r="M133" s="695">
        <f t="shared" si="20"/>
        <v>997182.95</v>
      </c>
      <c r="N133" s="729"/>
      <c r="O133" s="729"/>
      <c r="P133" s="729"/>
      <c r="Q133" s="729"/>
      <c r="R133" s="729"/>
      <c r="S133" s="729"/>
      <c r="T133" s="729"/>
      <c r="U133" s="729"/>
      <c r="V133" s="729"/>
      <c r="W133" s="729"/>
      <c r="X133" s="729"/>
      <c r="Y133" s="729"/>
      <c r="Z133" s="729"/>
      <c r="AA133" s="729"/>
      <c r="AB133" s="729"/>
      <c r="AC133" s="729"/>
      <c r="AD133" s="729"/>
      <c r="AE133" s="729"/>
      <c r="AF133" s="729"/>
      <c r="AG133" s="729"/>
      <c r="AH133" s="729"/>
      <c r="AI133" s="729"/>
      <c r="AJ133" s="729"/>
      <c r="AK133" s="729"/>
      <c r="AL133" s="729"/>
      <c r="AM133" s="729"/>
      <c r="AN133" s="729"/>
      <c r="AO133" s="729"/>
      <c r="AP133" s="729"/>
      <c r="AQ133" s="729"/>
      <c r="AR133" s="729"/>
      <c r="AS133" s="729"/>
      <c r="AT133" s="729"/>
      <c r="AU133" s="729"/>
      <c r="AV133" s="729"/>
      <c r="AW133" s="729"/>
      <c r="AX133" s="729"/>
      <c r="AY133" s="729"/>
      <c r="AZ133" s="729"/>
      <c r="BA133" s="729"/>
      <c r="BB133" s="729"/>
      <c r="BC133" s="729"/>
      <c r="BD133" s="729"/>
      <c r="BE133" s="729"/>
      <c r="BF133" s="729"/>
      <c r="BG133" s="729"/>
      <c r="BH133" s="729"/>
      <c r="BI133" s="729"/>
      <c r="BJ133" s="729"/>
      <c r="BK133" s="729"/>
      <c r="BL133" s="729"/>
      <c r="BM133" s="729"/>
      <c r="BN133" s="729"/>
      <c r="BO133" s="729"/>
      <c r="BP133" s="729"/>
      <c r="BQ133" s="729"/>
      <c r="BR133" s="729"/>
      <c r="BS133" s="729"/>
      <c r="BT133" s="729"/>
      <c r="BU133" s="729"/>
      <c r="BV133" s="729"/>
      <c r="BW133" s="732"/>
      <c r="BX133" s="732"/>
      <c r="BY133" s="732"/>
      <c r="BZ133" s="732"/>
      <c r="CA133" s="732"/>
      <c r="CB133" s="732"/>
      <c r="CC133" s="732"/>
      <c r="CD133" s="732"/>
      <c r="CE133" s="732"/>
      <c r="CF133" s="732"/>
      <c r="CG133" s="732"/>
      <c r="CH133" s="732"/>
      <c r="CI133" s="732"/>
      <c r="CJ133" s="732"/>
      <c r="CK133" s="732"/>
      <c r="CL133" s="732"/>
      <c r="CM133" s="732"/>
      <c r="CN133" s="732"/>
      <c r="CO133" s="732"/>
      <c r="CP133" s="732"/>
      <c r="CQ133" s="732"/>
      <c r="CR133" s="732"/>
      <c r="CS133" s="732"/>
      <c r="CT133" s="732"/>
      <c r="CU133" s="732"/>
      <c r="CV133" s="732"/>
      <c r="CW133" s="732"/>
      <c r="CX133" s="732"/>
      <c r="CY133" s="732"/>
      <c r="CZ133" s="732"/>
      <c r="DA133" s="732"/>
      <c r="DB133" s="732"/>
      <c r="DC133" s="732"/>
      <c r="DD133" s="732"/>
      <c r="DE133" s="732"/>
      <c r="DF133" s="732"/>
      <c r="DG133" s="732"/>
      <c r="DH133" s="732"/>
      <c r="DI133" s="732"/>
      <c r="DJ133" s="732"/>
      <c r="DK133" s="732"/>
      <c r="DL133" s="732"/>
      <c r="DM133" s="732"/>
      <c r="DN133" s="732"/>
      <c r="DO133" s="732"/>
      <c r="DP133" s="732"/>
      <c r="DQ133" s="732"/>
      <c r="DR133" s="732"/>
      <c r="DS133" s="732"/>
      <c r="DT133" s="732"/>
      <c r="DU133" s="732"/>
      <c r="DV133" s="732"/>
      <c r="DW133" s="732"/>
      <c r="DX133" s="732"/>
      <c r="DY133" s="732"/>
      <c r="DZ133" s="732"/>
      <c r="EA133" s="732"/>
      <c r="EB133" s="732"/>
      <c r="EC133" s="732"/>
      <c r="ED133" s="732"/>
      <c r="EE133" s="732"/>
      <c r="EF133" s="732"/>
      <c r="EG133" s="732"/>
      <c r="EH133" s="732"/>
      <c r="EI133" s="732"/>
      <c r="EJ133" s="732"/>
      <c r="EK133" s="732"/>
      <c r="EL133" s="732"/>
      <c r="EM133" s="732"/>
      <c r="EN133" s="732"/>
      <c r="EO133" s="732"/>
      <c r="EP133" s="732"/>
      <c r="EQ133" s="732"/>
      <c r="ER133" s="732"/>
      <c r="ES133" s="732"/>
      <c r="ET133" s="732"/>
      <c r="EU133" s="732"/>
      <c r="EV133" s="732"/>
      <c r="EW133" s="732"/>
      <c r="EX133" s="732"/>
      <c r="EY133" s="732"/>
      <c r="EZ133" s="732"/>
      <c r="FA133" s="732"/>
      <c r="FB133" s="732"/>
      <c r="FC133" s="732"/>
      <c r="FD133" s="732"/>
      <c r="FE133" s="732"/>
      <c r="FF133" s="732"/>
      <c r="FG133" s="732"/>
      <c r="FH133" s="732"/>
      <c r="FI133" s="732"/>
      <c r="FJ133" s="732"/>
      <c r="FK133" s="732"/>
      <c r="FL133" s="732"/>
      <c r="FM133" s="732"/>
      <c r="FN133" s="732"/>
      <c r="FO133" s="732"/>
      <c r="FP133" s="732"/>
      <c r="FQ133" s="732"/>
      <c r="FR133" s="732"/>
      <c r="FS133" s="732"/>
      <c r="FT133" s="732"/>
      <c r="FU133" s="732"/>
      <c r="FV133" s="732"/>
      <c r="FW133" s="732"/>
      <c r="FX133" s="732"/>
      <c r="FY133" s="732"/>
      <c r="FZ133" s="732"/>
      <c r="GA133" s="732"/>
      <c r="GB133" s="732"/>
      <c r="GC133" s="732"/>
      <c r="GD133" s="732"/>
      <c r="GE133" s="732"/>
      <c r="GF133" s="732"/>
      <c r="GG133" s="732"/>
      <c r="GH133" s="732"/>
      <c r="GI133" s="732"/>
      <c r="GJ133" s="732"/>
      <c r="GK133" s="732"/>
      <c r="GL133" s="732"/>
      <c r="GM133" s="732"/>
      <c r="GN133" s="732"/>
      <c r="GO133" s="732"/>
      <c r="GP133" s="732"/>
      <c r="GQ133" s="732"/>
      <c r="GR133" s="732"/>
      <c r="GS133" s="732"/>
      <c r="GT133" s="732"/>
      <c r="GU133" s="732"/>
      <c r="GV133" s="732"/>
      <c r="GW133" s="732"/>
      <c r="GX133" s="732"/>
      <c r="GY133" s="732"/>
      <c r="GZ133" s="732"/>
      <c r="HA133" s="732"/>
      <c r="HB133" s="732"/>
      <c r="HC133" s="732"/>
      <c r="HD133" s="732"/>
      <c r="HE133" s="732"/>
      <c r="HF133" s="732"/>
      <c r="HG133" s="732"/>
      <c r="HH133" s="732"/>
      <c r="HI133" s="732"/>
      <c r="HJ133" s="732"/>
      <c r="HK133" s="732"/>
      <c r="HL133" s="732"/>
      <c r="HM133" s="732"/>
      <c r="HN133" s="732"/>
      <c r="HO133" s="732"/>
      <c r="HP133" s="732"/>
      <c r="HQ133" s="732"/>
      <c r="HR133" s="732"/>
      <c r="HS133" s="732"/>
      <c r="HT133" s="732"/>
      <c r="HU133" s="732"/>
      <c r="HV133" s="732"/>
      <c r="HW133" s="732"/>
      <c r="HX133" s="732"/>
      <c r="HY133" s="732"/>
      <c r="HZ133" s="732"/>
      <c r="IA133" s="732"/>
      <c r="IB133" s="732"/>
      <c r="IC133" s="732"/>
      <c r="ID133" s="732"/>
      <c r="IE133" s="732"/>
      <c r="IF133" s="732"/>
      <c r="IG133" s="732"/>
      <c r="IH133" s="732"/>
      <c r="II133" s="732"/>
      <c r="IJ133" s="732"/>
      <c r="IK133" s="732"/>
      <c r="IL133" s="732"/>
      <c r="IM133" s="732"/>
      <c r="IN133" s="732"/>
      <c r="IO133" s="732"/>
      <c r="IP133" s="732"/>
      <c r="IQ133" s="732"/>
      <c r="IR133" s="732"/>
      <c r="IS133" s="732"/>
    </row>
    <row r="134" s="563" customFormat="1" ht="15" spans="1:253">
      <c r="A134" s="719" t="s">
        <v>148</v>
      </c>
      <c r="B134" s="657" t="s">
        <v>219</v>
      </c>
      <c r="C134" s="698" t="s">
        <v>126</v>
      </c>
      <c r="D134" s="716" t="s">
        <v>69</v>
      </c>
      <c r="E134" s="720">
        <f>'PB VI - Memorial'!C130</f>
        <v>17.45</v>
      </c>
      <c r="F134" s="694">
        <v>11.16</v>
      </c>
      <c r="G134" s="694">
        <f t="shared" si="5"/>
        <v>194.74</v>
      </c>
      <c r="H134" s="711"/>
      <c r="I134" s="711"/>
      <c r="J134" s="711"/>
      <c r="K134" s="711"/>
      <c r="L134" s="711"/>
      <c r="M134" s="695">
        <f t="shared" si="20"/>
        <v>997182.95</v>
      </c>
      <c r="N134" s="729"/>
      <c r="O134" s="729"/>
      <c r="P134" s="729"/>
      <c r="Q134" s="729"/>
      <c r="R134" s="729"/>
      <c r="S134" s="729"/>
      <c r="T134" s="729"/>
      <c r="U134" s="729"/>
      <c r="V134" s="729"/>
      <c r="W134" s="729"/>
      <c r="X134" s="729"/>
      <c r="Y134" s="729"/>
      <c r="Z134" s="729"/>
      <c r="AA134" s="729"/>
      <c r="AB134" s="729"/>
      <c r="AC134" s="729"/>
      <c r="AD134" s="729"/>
      <c r="AE134" s="729"/>
      <c r="AF134" s="729"/>
      <c r="AG134" s="729"/>
      <c r="AH134" s="729"/>
      <c r="AI134" s="729"/>
      <c r="AJ134" s="729"/>
      <c r="AK134" s="729"/>
      <c r="AL134" s="729"/>
      <c r="AM134" s="729"/>
      <c r="AN134" s="729"/>
      <c r="AO134" s="729"/>
      <c r="AP134" s="729"/>
      <c r="AQ134" s="729"/>
      <c r="AR134" s="729"/>
      <c r="AS134" s="729"/>
      <c r="AT134" s="729"/>
      <c r="AU134" s="729"/>
      <c r="AV134" s="729"/>
      <c r="AW134" s="729"/>
      <c r="AX134" s="729"/>
      <c r="AY134" s="729"/>
      <c r="AZ134" s="729"/>
      <c r="BA134" s="729"/>
      <c r="BB134" s="729"/>
      <c r="BC134" s="729"/>
      <c r="BD134" s="729"/>
      <c r="BE134" s="729"/>
      <c r="BF134" s="729"/>
      <c r="BG134" s="729"/>
      <c r="BH134" s="729"/>
      <c r="BI134" s="729"/>
      <c r="BJ134" s="729"/>
      <c r="BK134" s="729"/>
      <c r="BL134" s="729"/>
      <c r="BM134" s="729"/>
      <c r="BN134" s="729"/>
      <c r="BO134" s="729"/>
      <c r="BP134" s="729"/>
      <c r="BQ134" s="729"/>
      <c r="BR134" s="729"/>
      <c r="BS134" s="729"/>
      <c r="BT134" s="729"/>
      <c r="BU134" s="729"/>
      <c r="BV134" s="729"/>
      <c r="BW134" s="732"/>
      <c r="BX134" s="732"/>
      <c r="BY134" s="732"/>
      <c r="BZ134" s="732"/>
      <c r="CA134" s="732"/>
      <c r="CB134" s="732"/>
      <c r="CC134" s="732"/>
      <c r="CD134" s="732"/>
      <c r="CE134" s="732"/>
      <c r="CF134" s="732"/>
      <c r="CG134" s="732"/>
      <c r="CH134" s="732"/>
      <c r="CI134" s="732"/>
      <c r="CJ134" s="732"/>
      <c r="CK134" s="732"/>
      <c r="CL134" s="732"/>
      <c r="CM134" s="732"/>
      <c r="CN134" s="732"/>
      <c r="CO134" s="732"/>
      <c r="CP134" s="732"/>
      <c r="CQ134" s="732"/>
      <c r="CR134" s="732"/>
      <c r="CS134" s="732"/>
      <c r="CT134" s="732"/>
      <c r="CU134" s="732"/>
      <c r="CV134" s="732"/>
      <c r="CW134" s="732"/>
      <c r="CX134" s="732"/>
      <c r="CY134" s="732"/>
      <c r="CZ134" s="732"/>
      <c r="DA134" s="732"/>
      <c r="DB134" s="732"/>
      <c r="DC134" s="732"/>
      <c r="DD134" s="732"/>
      <c r="DE134" s="732"/>
      <c r="DF134" s="732"/>
      <c r="DG134" s="732"/>
      <c r="DH134" s="732"/>
      <c r="DI134" s="732"/>
      <c r="DJ134" s="732"/>
      <c r="DK134" s="732"/>
      <c r="DL134" s="732"/>
      <c r="DM134" s="732"/>
      <c r="DN134" s="732"/>
      <c r="DO134" s="732"/>
      <c r="DP134" s="732"/>
      <c r="DQ134" s="732"/>
      <c r="DR134" s="732"/>
      <c r="DS134" s="732"/>
      <c r="DT134" s="732"/>
      <c r="DU134" s="732"/>
      <c r="DV134" s="732"/>
      <c r="DW134" s="732"/>
      <c r="DX134" s="732"/>
      <c r="DY134" s="732"/>
      <c r="DZ134" s="732"/>
      <c r="EA134" s="732"/>
      <c r="EB134" s="732"/>
      <c r="EC134" s="732"/>
      <c r="ED134" s="732"/>
      <c r="EE134" s="732"/>
      <c r="EF134" s="732"/>
      <c r="EG134" s="732"/>
      <c r="EH134" s="732"/>
      <c r="EI134" s="732"/>
      <c r="EJ134" s="732"/>
      <c r="EK134" s="732"/>
      <c r="EL134" s="732"/>
      <c r="EM134" s="732"/>
      <c r="EN134" s="732"/>
      <c r="EO134" s="732"/>
      <c r="EP134" s="732"/>
      <c r="EQ134" s="732"/>
      <c r="ER134" s="732"/>
      <c r="ES134" s="732"/>
      <c r="ET134" s="732"/>
      <c r="EU134" s="732"/>
      <c r="EV134" s="732"/>
      <c r="EW134" s="732"/>
      <c r="EX134" s="732"/>
      <c r="EY134" s="732"/>
      <c r="EZ134" s="732"/>
      <c r="FA134" s="732"/>
      <c r="FB134" s="732"/>
      <c r="FC134" s="732"/>
      <c r="FD134" s="732"/>
      <c r="FE134" s="732"/>
      <c r="FF134" s="732"/>
      <c r="FG134" s="732"/>
      <c r="FH134" s="732"/>
      <c r="FI134" s="732"/>
      <c r="FJ134" s="732"/>
      <c r="FK134" s="732"/>
      <c r="FL134" s="732"/>
      <c r="FM134" s="732"/>
      <c r="FN134" s="732"/>
      <c r="FO134" s="732"/>
      <c r="FP134" s="732"/>
      <c r="FQ134" s="732"/>
      <c r="FR134" s="732"/>
      <c r="FS134" s="732"/>
      <c r="FT134" s="732"/>
      <c r="FU134" s="732"/>
      <c r="FV134" s="732"/>
      <c r="FW134" s="732"/>
      <c r="FX134" s="732"/>
      <c r="FY134" s="732"/>
      <c r="FZ134" s="732"/>
      <c r="GA134" s="732"/>
      <c r="GB134" s="732"/>
      <c r="GC134" s="732"/>
      <c r="GD134" s="732"/>
      <c r="GE134" s="732"/>
      <c r="GF134" s="732"/>
      <c r="GG134" s="732"/>
      <c r="GH134" s="732"/>
      <c r="GI134" s="732"/>
      <c r="GJ134" s="732"/>
      <c r="GK134" s="732"/>
      <c r="GL134" s="732"/>
      <c r="GM134" s="732"/>
      <c r="GN134" s="732"/>
      <c r="GO134" s="732"/>
      <c r="GP134" s="732"/>
      <c r="GQ134" s="732"/>
      <c r="GR134" s="732"/>
      <c r="GS134" s="732"/>
      <c r="GT134" s="732"/>
      <c r="GU134" s="732"/>
      <c r="GV134" s="732"/>
      <c r="GW134" s="732"/>
      <c r="GX134" s="732"/>
      <c r="GY134" s="732"/>
      <c r="GZ134" s="732"/>
      <c r="HA134" s="732"/>
      <c r="HB134" s="732"/>
      <c r="HC134" s="732"/>
      <c r="HD134" s="732"/>
      <c r="HE134" s="732"/>
      <c r="HF134" s="732"/>
      <c r="HG134" s="732"/>
      <c r="HH134" s="732"/>
      <c r="HI134" s="732"/>
      <c r="HJ134" s="732"/>
      <c r="HK134" s="732"/>
      <c r="HL134" s="732"/>
      <c r="HM134" s="732"/>
      <c r="HN134" s="732"/>
      <c r="HO134" s="732"/>
      <c r="HP134" s="732"/>
      <c r="HQ134" s="732"/>
      <c r="HR134" s="732"/>
      <c r="HS134" s="732"/>
      <c r="HT134" s="732"/>
      <c r="HU134" s="732"/>
      <c r="HV134" s="732"/>
      <c r="HW134" s="732"/>
      <c r="HX134" s="732"/>
      <c r="HY134" s="732"/>
      <c r="HZ134" s="732"/>
      <c r="IA134" s="732"/>
      <c r="IB134" s="732"/>
      <c r="IC134" s="732"/>
      <c r="ID134" s="732"/>
      <c r="IE134" s="732"/>
      <c r="IF134" s="732"/>
      <c r="IG134" s="732"/>
      <c r="IH134" s="732"/>
      <c r="II134" s="732"/>
      <c r="IJ134" s="732"/>
      <c r="IK134" s="732"/>
      <c r="IL134" s="732"/>
      <c r="IM134" s="732"/>
      <c r="IN134" s="732"/>
      <c r="IO134" s="732"/>
      <c r="IP134" s="732"/>
      <c r="IQ134" s="732"/>
      <c r="IR134" s="732"/>
      <c r="IS134" s="732"/>
    </row>
    <row r="135" s="563" customFormat="1" ht="15" spans="1:253">
      <c r="A135" s="719" t="s">
        <v>160</v>
      </c>
      <c r="B135" s="657" t="s">
        <v>220</v>
      </c>
      <c r="C135" s="698" t="s">
        <v>162</v>
      </c>
      <c r="D135" s="716" t="s">
        <v>69</v>
      </c>
      <c r="E135" s="720">
        <f>'PB VI - Memorial'!G130</f>
        <v>7</v>
      </c>
      <c r="F135" s="694">
        <v>13.31</v>
      </c>
      <c r="G135" s="694">
        <f t="shared" si="5"/>
        <v>93.17</v>
      </c>
      <c r="H135" s="711"/>
      <c r="I135" s="711"/>
      <c r="J135" s="711"/>
      <c r="K135" s="711"/>
      <c r="L135" s="711"/>
      <c r="M135" s="695">
        <f t="shared" si="20"/>
        <v>997182.95</v>
      </c>
      <c r="N135" s="729"/>
      <c r="O135" s="729"/>
      <c r="P135" s="729"/>
      <c r="Q135" s="729"/>
      <c r="R135" s="729"/>
      <c r="S135" s="729"/>
      <c r="T135" s="729"/>
      <c r="U135" s="729"/>
      <c r="V135" s="729"/>
      <c r="W135" s="729"/>
      <c r="X135" s="729"/>
      <c r="Y135" s="729"/>
      <c r="Z135" s="729"/>
      <c r="AA135" s="729"/>
      <c r="AB135" s="729"/>
      <c r="AC135" s="729"/>
      <c r="AD135" s="729"/>
      <c r="AE135" s="729"/>
      <c r="AF135" s="729"/>
      <c r="AG135" s="729"/>
      <c r="AH135" s="729"/>
      <c r="AI135" s="729"/>
      <c r="AJ135" s="729"/>
      <c r="AK135" s="729"/>
      <c r="AL135" s="729"/>
      <c r="AM135" s="729"/>
      <c r="AN135" s="729"/>
      <c r="AO135" s="729"/>
      <c r="AP135" s="729"/>
      <c r="AQ135" s="729"/>
      <c r="AR135" s="729"/>
      <c r="AS135" s="729"/>
      <c r="AT135" s="729"/>
      <c r="AU135" s="729"/>
      <c r="AV135" s="729"/>
      <c r="AW135" s="729"/>
      <c r="AX135" s="729"/>
      <c r="AY135" s="729"/>
      <c r="AZ135" s="729"/>
      <c r="BA135" s="729"/>
      <c r="BB135" s="729"/>
      <c r="BC135" s="729"/>
      <c r="BD135" s="729"/>
      <c r="BE135" s="729"/>
      <c r="BF135" s="729"/>
      <c r="BG135" s="729"/>
      <c r="BH135" s="729"/>
      <c r="BI135" s="729"/>
      <c r="BJ135" s="729"/>
      <c r="BK135" s="729"/>
      <c r="BL135" s="729"/>
      <c r="BM135" s="729"/>
      <c r="BN135" s="729"/>
      <c r="BO135" s="729"/>
      <c r="BP135" s="729"/>
      <c r="BQ135" s="729"/>
      <c r="BR135" s="729"/>
      <c r="BS135" s="729"/>
      <c r="BT135" s="729"/>
      <c r="BU135" s="729"/>
      <c r="BV135" s="729"/>
      <c r="BW135" s="732"/>
      <c r="BX135" s="732"/>
      <c r="BY135" s="732"/>
      <c r="BZ135" s="732"/>
      <c r="CA135" s="732"/>
      <c r="CB135" s="732"/>
      <c r="CC135" s="732"/>
      <c r="CD135" s="732"/>
      <c r="CE135" s="732"/>
      <c r="CF135" s="732"/>
      <c r="CG135" s="732"/>
      <c r="CH135" s="732"/>
      <c r="CI135" s="732"/>
      <c r="CJ135" s="732"/>
      <c r="CK135" s="732"/>
      <c r="CL135" s="732"/>
      <c r="CM135" s="732"/>
      <c r="CN135" s="732"/>
      <c r="CO135" s="732"/>
      <c r="CP135" s="732"/>
      <c r="CQ135" s="732"/>
      <c r="CR135" s="732"/>
      <c r="CS135" s="732"/>
      <c r="CT135" s="732"/>
      <c r="CU135" s="732"/>
      <c r="CV135" s="732"/>
      <c r="CW135" s="732"/>
      <c r="CX135" s="732"/>
      <c r="CY135" s="732"/>
      <c r="CZ135" s="732"/>
      <c r="DA135" s="732"/>
      <c r="DB135" s="732"/>
      <c r="DC135" s="732"/>
      <c r="DD135" s="732"/>
      <c r="DE135" s="732"/>
      <c r="DF135" s="732"/>
      <c r="DG135" s="732"/>
      <c r="DH135" s="732"/>
      <c r="DI135" s="732"/>
      <c r="DJ135" s="732"/>
      <c r="DK135" s="732"/>
      <c r="DL135" s="732"/>
      <c r="DM135" s="732"/>
      <c r="DN135" s="732"/>
      <c r="DO135" s="732"/>
      <c r="DP135" s="732"/>
      <c r="DQ135" s="732"/>
      <c r="DR135" s="732"/>
      <c r="DS135" s="732"/>
      <c r="DT135" s="732"/>
      <c r="DU135" s="732"/>
      <c r="DV135" s="732"/>
      <c r="DW135" s="732"/>
      <c r="DX135" s="732"/>
      <c r="DY135" s="732"/>
      <c r="DZ135" s="732"/>
      <c r="EA135" s="732"/>
      <c r="EB135" s="732"/>
      <c r="EC135" s="732"/>
      <c r="ED135" s="732"/>
      <c r="EE135" s="732"/>
      <c r="EF135" s="732"/>
      <c r="EG135" s="732"/>
      <c r="EH135" s="732"/>
      <c r="EI135" s="732"/>
      <c r="EJ135" s="732"/>
      <c r="EK135" s="732"/>
      <c r="EL135" s="732"/>
      <c r="EM135" s="732"/>
      <c r="EN135" s="732"/>
      <c r="EO135" s="732"/>
      <c r="EP135" s="732"/>
      <c r="EQ135" s="732"/>
      <c r="ER135" s="732"/>
      <c r="ES135" s="732"/>
      <c r="ET135" s="732"/>
      <c r="EU135" s="732"/>
      <c r="EV135" s="732"/>
      <c r="EW135" s="732"/>
      <c r="EX135" s="732"/>
      <c r="EY135" s="732"/>
      <c r="EZ135" s="732"/>
      <c r="FA135" s="732"/>
      <c r="FB135" s="732"/>
      <c r="FC135" s="732"/>
      <c r="FD135" s="732"/>
      <c r="FE135" s="732"/>
      <c r="FF135" s="732"/>
      <c r="FG135" s="732"/>
      <c r="FH135" s="732"/>
      <c r="FI135" s="732"/>
      <c r="FJ135" s="732"/>
      <c r="FK135" s="732"/>
      <c r="FL135" s="732"/>
      <c r="FM135" s="732"/>
      <c r="FN135" s="732"/>
      <c r="FO135" s="732"/>
      <c r="FP135" s="732"/>
      <c r="FQ135" s="732"/>
      <c r="FR135" s="732"/>
      <c r="FS135" s="732"/>
      <c r="FT135" s="732"/>
      <c r="FU135" s="732"/>
      <c r="FV135" s="732"/>
      <c r="FW135" s="732"/>
      <c r="FX135" s="732"/>
      <c r="FY135" s="732"/>
      <c r="FZ135" s="732"/>
      <c r="GA135" s="732"/>
      <c r="GB135" s="732"/>
      <c r="GC135" s="732"/>
      <c r="GD135" s="732"/>
      <c r="GE135" s="732"/>
      <c r="GF135" s="732"/>
      <c r="GG135" s="732"/>
      <c r="GH135" s="732"/>
      <c r="GI135" s="732"/>
      <c r="GJ135" s="732"/>
      <c r="GK135" s="732"/>
      <c r="GL135" s="732"/>
      <c r="GM135" s="732"/>
      <c r="GN135" s="732"/>
      <c r="GO135" s="732"/>
      <c r="GP135" s="732"/>
      <c r="GQ135" s="732"/>
      <c r="GR135" s="732"/>
      <c r="GS135" s="732"/>
      <c r="GT135" s="732"/>
      <c r="GU135" s="732"/>
      <c r="GV135" s="732"/>
      <c r="GW135" s="732"/>
      <c r="GX135" s="732"/>
      <c r="GY135" s="732"/>
      <c r="GZ135" s="732"/>
      <c r="HA135" s="732"/>
      <c r="HB135" s="732"/>
      <c r="HC135" s="732"/>
      <c r="HD135" s="732"/>
      <c r="HE135" s="732"/>
      <c r="HF135" s="732"/>
      <c r="HG135" s="732"/>
      <c r="HH135" s="732"/>
      <c r="HI135" s="732"/>
      <c r="HJ135" s="732"/>
      <c r="HK135" s="732"/>
      <c r="HL135" s="732"/>
      <c r="HM135" s="732"/>
      <c r="HN135" s="732"/>
      <c r="HO135" s="732"/>
      <c r="HP135" s="732"/>
      <c r="HQ135" s="732"/>
      <c r="HR135" s="732"/>
      <c r="HS135" s="732"/>
      <c r="HT135" s="732"/>
      <c r="HU135" s="732"/>
      <c r="HV135" s="732"/>
      <c r="HW135" s="732"/>
      <c r="HX135" s="732"/>
      <c r="HY135" s="732"/>
      <c r="HZ135" s="732"/>
      <c r="IA135" s="732"/>
      <c r="IB135" s="732"/>
      <c r="IC135" s="732"/>
      <c r="ID135" s="732"/>
      <c r="IE135" s="732"/>
      <c r="IF135" s="732"/>
      <c r="IG135" s="732"/>
      <c r="IH135" s="732"/>
      <c r="II135" s="732"/>
      <c r="IJ135" s="732"/>
      <c r="IK135" s="732"/>
      <c r="IL135" s="732"/>
      <c r="IM135" s="732"/>
      <c r="IN135" s="732"/>
      <c r="IO135" s="732"/>
      <c r="IP135" s="732"/>
      <c r="IQ135" s="732"/>
      <c r="IR135" s="732"/>
      <c r="IS135" s="732"/>
    </row>
    <row r="136" s="563" customFormat="1" ht="15" spans="1:253">
      <c r="A136" s="719"/>
      <c r="B136" s="657"/>
      <c r="C136" s="698"/>
      <c r="D136" s="716"/>
      <c r="E136" s="720"/>
      <c r="F136" s="694"/>
      <c r="G136" s="694"/>
      <c r="H136" s="711"/>
      <c r="I136" s="711"/>
      <c r="J136" s="711"/>
      <c r="K136" s="711"/>
      <c r="L136" s="711"/>
      <c r="M136" s="695"/>
      <c r="N136" s="729"/>
      <c r="O136" s="729"/>
      <c r="P136" s="729"/>
      <c r="Q136" s="729"/>
      <c r="R136" s="729"/>
      <c r="S136" s="729"/>
      <c r="T136" s="729"/>
      <c r="U136" s="729"/>
      <c r="V136" s="729"/>
      <c r="W136" s="729"/>
      <c r="X136" s="729"/>
      <c r="Y136" s="729"/>
      <c r="Z136" s="729"/>
      <c r="AA136" s="729"/>
      <c r="AB136" s="729"/>
      <c r="AC136" s="729"/>
      <c r="AD136" s="729"/>
      <c r="AE136" s="729"/>
      <c r="AF136" s="729"/>
      <c r="AG136" s="729"/>
      <c r="AH136" s="729"/>
      <c r="AI136" s="729"/>
      <c r="AJ136" s="729"/>
      <c r="AK136" s="729"/>
      <c r="AL136" s="729"/>
      <c r="AM136" s="729"/>
      <c r="AN136" s="729"/>
      <c r="AO136" s="729"/>
      <c r="AP136" s="729"/>
      <c r="AQ136" s="729"/>
      <c r="AR136" s="729"/>
      <c r="AS136" s="729"/>
      <c r="AT136" s="729"/>
      <c r="AU136" s="729"/>
      <c r="AV136" s="729"/>
      <c r="AW136" s="729"/>
      <c r="AX136" s="729"/>
      <c r="AY136" s="729"/>
      <c r="AZ136" s="729"/>
      <c r="BA136" s="729"/>
      <c r="BB136" s="729"/>
      <c r="BC136" s="729"/>
      <c r="BD136" s="729"/>
      <c r="BE136" s="729"/>
      <c r="BF136" s="729"/>
      <c r="BG136" s="729"/>
      <c r="BH136" s="729"/>
      <c r="BI136" s="729"/>
      <c r="BJ136" s="729"/>
      <c r="BK136" s="729"/>
      <c r="BL136" s="729"/>
      <c r="BM136" s="729"/>
      <c r="BN136" s="729"/>
      <c r="BO136" s="729"/>
      <c r="BP136" s="729"/>
      <c r="BQ136" s="729"/>
      <c r="BR136" s="729"/>
      <c r="BS136" s="729"/>
      <c r="BT136" s="729"/>
      <c r="BU136" s="729"/>
      <c r="BV136" s="729"/>
      <c r="BW136" s="732"/>
      <c r="BX136" s="732"/>
      <c r="BY136" s="732"/>
      <c r="BZ136" s="732"/>
      <c r="CA136" s="732"/>
      <c r="CB136" s="732"/>
      <c r="CC136" s="732"/>
      <c r="CD136" s="732"/>
      <c r="CE136" s="732"/>
      <c r="CF136" s="732"/>
      <c r="CG136" s="732"/>
      <c r="CH136" s="732"/>
      <c r="CI136" s="732"/>
      <c r="CJ136" s="732"/>
      <c r="CK136" s="732"/>
      <c r="CL136" s="732"/>
      <c r="CM136" s="732"/>
      <c r="CN136" s="732"/>
      <c r="CO136" s="732"/>
      <c r="CP136" s="732"/>
      <c r="CQ136" s="732"/>
      <c r="CR136" s="732"/>
      <c r="CS136" s="732"/>
      <c r="CT136" s="732"/>
      <c r="CU136" s="732"/>
      <c r="CV136" s="732"/>
      <c r="CW136" s="732"/>
      <c r="CX136" s="732"/>
      <c r="CY136" s="732"/>
      <c r="CZ136" s="732"/>
      <c r="DA136" s="732"/>
      <c r="DB136" s="732"/>
      <c r="DC136" s="732"/>
      <c r="DD136" s="732"/>
      <c r="DE136" s="732"/>
      <c r="DF136" s="732"/>
      <c r="DG136" s="732"/>
      <c r="DH136" s="732"/>
      <c r="DI136" s="732"/>
      <c r="DJ136" s="732"/>
      <c r="DK136" s="732"/>
      <c r="DL136" s="732"/>
      <c r="DM136" s="732"/>
      <c r="DN136" s="732"/>
      <c r="DO136" s="732"/>
      <c r="DP136" s="732"/>
      <c r="DQ136" s="732"/>
      <c r="DR136" s="732"/>
      <c r="DS136" s="732"/>
      <c r="DT136" s="732"/>
      <c r="DU136" s="732"/>
      <c r="DV136" s="732"/>
      <c r="DW136" s="732"/>
      <c r="DX136" s="732"/>
      <c r="DY136" s="732"/>
      <c r="DZ136" s="732"/>
      <c r="EA136" s="732"/>
      <c r="EB136" s="732"/>
      <c r="EC136" s="732"/>
      <c r="ED136" s="732"/>
      <c r="EE136" s="732"/>
      <c r="EF136" s="732"/>
      <c r="EG136" s="732"/>
      <c r="EH136" s="732"/>
      <c r="EI136" s="732"/>
      <c r="EJ136" s="732"/>
      <c r="EK136" s="732"/>
      <c r="EL136" s="732"/>
      <c r="EM136" s="732"/>
      <c r="EN136" s="732"/>
      <c r="EO136" s="732"/>
      <c r="EP136" s="732"/>
      <c r="EQ136" s="732"/>
      <c r="ER136" s="732"/>
      <c r="ES136" s="732"/>
      <c r="ET136" s="732"/>
      <c r="EU136" s="732"/>
      <c r="EV136" s="732"/>
      <c r="EW136" s="732"/>
      <c r="EX136" s="732"/>
      <c r="EY136" s="732"/>
      <c r="EZ136" s="732"/>
      <c r="FA136" s="732"/>
      <c r="FB136" s="732"/>
      <c r="FC136" s="732"/>
      <c r="FD136" s="732"/>
      <c r="FE136" s="732"/>
      <c r="FF136" s="732"/>
      <c r="FG136" s="732"/>
      <c r="FH136" s="732"/>
      <c r="FI136" s="732"/>
      <c r="FJ136" s="732"/>
      <c r="FK136" s="732"/>
      <c r="FL136" s="732"/>
      <c r="FM136" s="732"/>
      <c r="FN136" s="732"/>
      <c r="FO136" s="732"/>
      <c r="FP136" s="732"/>
      <c r="FQ136" s="732"/>
      <c r="FR136" s="732"/>
      <c r="FS136" s="732"/>
      <c r="FT136" s="732"/>
      <c r="FU136" s="732"/>
      <c r="FV136" s="732"/>
      <c r="FW136" s="732"/>
      <c r="FX136" s="732"/>
      <c r="FY136" s="732"/>
      <c r="FZ136" s="732"/>
      <c r="GA136" s="732"/>
      <c r="GB136" s="732"/>
      <c r="GC136" s="732"/>
      <c r="GD136" s="732"/>
      <c r="GE136" s="732"/>
      <c r="GF136" s="732"/>
      <c r="GG136" s="732"/>
      <c r="GH136" s="732"/>
      <c r="GI136" s="732"/>
      <c r="GJ136" s="732"/>
      <c r="GK136" s="732"/>
      <c r="GL136" s="732"/>
      <c r="GM136" s="732"/>
      <c r="GN136" s="732"/>
      <c r="GO136" s="732"/>
      <c r="GP136" s="732"/>
      <c r="GQ136" s="732"/>
      <c r="GR136" s="732"/>
      <c r="GS136" s="732"/>
      <c r="GT136" s="732"/>
      <c r="GU136" s="732"/>
      <c r="GV136" s="732"/>
      <c r="GW136" s="732"/>
      <c r="GX136" s="732"/>
      <c r="GY136" s="732"/>
      <c r="GZ136" s="732"/>
      <c r="HA136" s="732"/>
      <c r="HB136" s="732"/>
      <c r="HC136" s="732"/>
      <c r="HD136" s="732"/>
      <c r="HE136" s="732"/>
      <c r="HF136" s="732"/>
      <c r="HG136" s="732"/>
      <c r="HH136" s="732"/>
      <c r="HI136" s="732"/>
      <c r="HJ136" s="732"/>
      <c r="HK136" s="732"/>
      <c r="HL136" s="732"/>
      <c r="HM136" s="732"/>
      <c r="HN136" s="732"/>
      <c r="HO136" s="732"/>
      <c r="HP136" s="732"/>
      <c r="HQ136" s="732"/>
      <c r="HR136" s="732"/>
      <c r="HS136" s="732"/>
      <c r="HT136" s="732"/>
      <c r="HU136" s="732"/>
      <c r="HV136" s="732"/>
      <c r="HW136" s="732"/>
      <c r="HX136" s="732"/>
      <c r="HY136" s="732"/>
      <c r="HZ136" s="732"/>
      <c r="IA136" s="732"/>
      <c r="IB136" s="732"/>
      <c r="IC136" s="732"/>
      <c r="ID136" s="732"/>
      <c r="IE136" s="732"/>
      <c r="IF136" s="732"/>
      <c r="IG136" s="732"/>
      <c r="IH136" s="732"/>
      <c r="II136" s="732"/>
      <c r="IJ136" s="732"/>
      <c r="IK136" s="732"/>
      <c r="IL136" s="732"/>
      <c r="IM136" s="732"/>
      <c r="IN136" s="732"/>
      <c r="IO136" s="732"/>
      <c r="IP136" s="732"/>
      <c r="IQ136" s="732"/>
      <c r="IR136" s="732"/>
      <c r="IS136" s="732"/>
    </row>
    <row r="137" s="563" customFormat="1" ht="15" spans="1:253">
      <c r="A137" s="721"/>
      <c r="B137" s="722" t="s">
        <v>221</v>
      </c>
      <c r="C137" s="723" t="s">
        <v>222</v>
      </c>
      <c r="D137" s="716"/>
      <c r="E137" s="720"/>
      <c r="F137" s="694"/>
      <c r="G137" s="694"/>
      <c r="H137" s="711"/>
      <c r="I137" s="711"/>
      <c r="J137" s="711"/>
      <c r="K137" s="711"/>
      <c r="L137" s="711"/>
      <c r="M137" s="695">
        <f t="shared" ref="M137:M152" si="22">$F$432</f>
        <v>997182.95</v>
      </c>
      <c r="N137" s="729"/>
      <c r="O137" s="729"/>
      <c r="P137" s="729"/>
      <c r="Q137" s="729"/>
      <c r="R137" s="729"/>
      <c r="S137" s="729"/>
      <c r="T137" s="729"/>
      <c r="U137" s="729"/>
      <c r="V137" s="729"/>
      <c r="W137" s="729"/>
      <c r="X137" s="729"/>
      <c r="Y137" s="729"/>
      <c r="Z137" s="729"/>
      <c r="AA137" s="729"/>
      <c r="AB137" s="729"/>
      <c r="AC137" s="729"/>
      <c r="AD137" s="729"/>
      <c r="AE137" s="729"/>
      <c r="AF137" s="729"/>
      <c r="AG137" s="729"/>
      <c r="AH137" s="729"/>
      <c r="AI137" s="729"/>
      <c r="AJ137" s="729"/>
      <c r="AK137" s="729"/>
      <c r="AL137" s="729"/>
      <c r="AM137" s="729"/>
      <c r="AN137" s="729"/>
      <c r="AO137" s="729"/>
      <c r="AP137" s="729"/>
      <c r="AQ137" s="729"/>
      <c r="AR137" s="729"/>
      <c r="AS137" s="729"/>
      <c r="AT137" s="729"/>
      <c r="AU137" s="729"/>
      <c r="AV137" s="729"/>
      <c r="AW137" s="729"/>
      <c r="AX137" s="729"/>
      <c r="AY137" s="729"/>
      <c r="AZ137" s="729"/>
      <c r="BA137" s="729"/>
      <c r="BB137" s="729"/>
      <c r="BC137" s="729"/>
      <c r="BD137" s="729"/>
      <c r="BE137" s="729"/>
      <c r="BF137" s="729"/>
      <c r="BG137" s="729"/>
      <c r="BH137" s="729"/>
      <c r="BI137" s="729"/>
      <c r="BJ137" s="729"/>
      <c r="BK137" s="729"/>
      <c r="BL137" s="729"/>
      <c r="BM137" s="729"/>
      <c r="BN137" s="729"/>
      <c r="BO137" s="729"/>
      <c r="BP137" s="729"/>
      <c r="BQ137" s="729"/>
      <c r="BR137" s="729"/>
      <c r="BS137" s="729"/>
      <c r="BT137" s="729"/>
      <c r="BU137" s="729"/>
      <c r="BV137" s="729"/>
      <c r="BW137" s="732"/>
      <c r="BX137" s="732"/>
      <c r="BY137" s="732"/>
      <c r="BZ137" s="732"/>
      <c r="CA137" s="732"/>
      <c r="CB137" s="732"/>
      <c r="CC137" s="732"/>
      <c r="CD137" s="732"/>
      <c r="CE137" s="732"/>
      <c r="CF137" s="732"/>
      <c r="CG137" s="732"/>
      <c r="CH137" s="732"/>
      <c r="CI137" s="732"/>
      <c r="CJ137" s="732"/>
      <c r="CK137" s="732"/>
      <c r="CL137" s="732"/>
      <c r="CM137" s="732"/>
      <c r="CN137" s="732"/>
      <c r="CO137" s="732"/>
      <c r="CP137" s="732"/>
      <c r="CQ137" s="732"/>
      <c r="CR137" s="732"/>
      <c r="CS137" s="732"/>
      <c r="CT137" s="732"/>
      <c r="CU137" s="732"/>
      <c r="CV137" s="732"/>
      <c r="CW137" s="732"/>
      <c r="CX137" s="732"/>
      <c r="CY137" s="732"/>
      <c r="CZ137" s="732"/>
      <c r="DA137" s="732"/>
      <c r="DB137" s="732"/>
      <c r="DC137" s="732"/>
      <c r="DD137" s="732"/>
      <c r="DE137" s="732"/>
      <c r="DF137" s="732"/>
      <c r="DG137" s="732"/>
      <c r="DH137" s="732"/>
      <c r="DI137" s="732"/>
      <c r="DJ137" s="732"/>
      <c r="DK137" s="732"/>
      <c r="DL137" s="732"/>
      <c r="DM137" s="732"/>
      <c r="DN137" s="732"/>
      <c r="DO137" s="732"/>
      <c r="DP137" s="732"/>
      <c r="DQ137" s="732"/>
      <c r="DR137" s="732"/>
      <c r="DS137" s="732"/>
      <c r="DT137" s="732"/>
      <c r="DU137" s="732"/>
      <c r="DV137" s="732"/>
      <c r="DW137" s="732"/>
      <c r="DX137" s="732"/>
      <c r="DY137" s="732"/>
      <c r="DZ137" s="732"/>
      <c r="EA137" s="732"/>
      <c r="EB137" s="732"/>
      <c r="EC137" s="732"/>
      <c r="ED137" s="732"/>
      <c r="EE137" s="732"/>
      <c r="EF137" s="732"/>
      <c r="EG137" s="732"/>
      <c r="EH137" s="732"/>
      <c r="EI137" s="732"/>
      <c r="EJ137" s="732"/>
      <c r="EK137" s="732"/>
      <c r="EL137" s="732"/>
      <c r="EM137" s="732"/>
      <c r="EN137" s="732"/>
      <c r="EO137" s="732"/>
      <c r="EP137" s="732"/>
      <c r="EQ137" s="732"/>
      <c r="ER137" s="732"/>
      <c r="ES137" s="732"/>
      <c r="ET137" s="732"/>
      <c r="EU137" s="732"/>
      <c r="EV137" s="732"/>
      <c r="EW137" s="732"/>
      <c r="EX137" s="732"/>
      <c r="EY137" s="732"/>
      <c r="EZ137" s="732"/>
      <c r="FA137" s="732"/>
      <c r="FB137" s="732"/>
      <c r="FC137" s="732"/>
      <c r="FD137" s="732"/>
      <c r="FE137" s="732"/>
      <c r="FF137" s="732"/>
      <c r="FG137" s="732"/>
      <c r="FH137" s="732"/>
      <c r="FI137" s="732"/>
      <c r="FJ137" s="732"/>
      <c r="FK137" s="732"/>
      <c r="FL137" s="732"/>
      <c r="FM137" s="732"/>
      <c r="FN137" s="732"/>
      <c r="FO137" s="732"/>
      <c r="FP137" s="732"/>
      <c r="FQ137" s="732"/>
      <c r="FR137" s="732"/>
      <c r="FS137" s="732"/>
      <c r="FT137" s="732"/>
      <c r="FU137" s="732"/>
      <c r="FV137" s="732"/>
      <c r="FW137" s="732"/>
      <c r="FX137" s="732"/>
      <c r="FY137" s="732"/>
      <c r="FZ137" s="732"/>
      <c r="GA137" s="732"/>
      <c r="GB137" s="732"/>
      <c r="GC137" s="732"/>
      <c r="GD137" s="732"/>
      <c r="GE137" s="732"/>
      <c r="GF137" s="732"/>
      <c r="GG137" s="732"/>
      <c r="GH137" s="732"/>
      <c r="GI137" s="732"/>
      <c r="GJ137" s="732"/>
      <c r="GK137" s="732"/>
      <c r="GL137" s="732"/>
      <c r="GM137" s="732"/>
      <c r="GN137" s="732"/>
      <c r="GO137" s="732"/>
      <c r="GP137" s="732"/>
      <c r="GQ137" s="732"/>
      <c r="GR137" s="732"/>
      <c r="GS137" s="732"/>
      <c r="GT137" s="732"/>
      <c r="GU137" s="732"/>
      <c r="GV137" s="732"/>
      <c r="GW137" s="732"/>
      <c r="GX137" s="732"/>
      <c r="GY137" s="732"/>
      <c r="GZ137" s="732"/>
      <c r="HA137" s="732"/>
      <c r="HB137" s="732"/>
      <c r="HC137" s="732"/>
      <c r="HD137" s="732"/>
      <c r="HE137" s="732"/>
      <c r="HF137" s="732"/>
      <c r="HG137" s="732"/>
      <c r="HH137" s="732"/>
      <c r="HI137" s="732"/>
      <c r="HJ137" s="732"/>
      <c r="HK137" s="732"/>
      <c r="HL137" s="732"/>
      <c r="HM137" s="732"/>
      <c r="HN137" s="732"/>
      <c r="HO137" s="732"/>
      <c r="HP137" s="732"/>
      <c r="HQ137" s="732"/>
      <c r="HR137" s="732"/>
      <c r="HS137" s="732"/>
      <c r="HT137" s="732"/>
      <c r="HU137" s="732"/>
      <c r="HV137" s="732"/>
      <c r="HW137" s="732"/>
      <c r="HX137" s="732"/>
      <c r="HY137" s="732"/>
      <c r="HZ137" s="732"/>
      <c r="IA137" s="732"/>
      <c r="IB137" s="732"/>
      <c r="IC137" s="732"/>
      <c r="ID137" s="732"/>
      <c r="IE137" s="732"/>
      <c r="IF137" s="732"/>
      <c r="IG137" s="732"/>
      <c r="IH137" s="732"/>
      <c r="II137" s="732"/>
      <c r="IJ137" s="732"/>
      <c r="IK137" s="732"/>
      <c r="IL137" s="732"/>
      <c r="IM137" s="732"/>
      <c r="IN137" s="732"/>
      <c r="IO137" s="732"/>
      <c r="IP137" s="732"/>
      <c r="IQ137" s="732"/>
      <c r="IR137" s="732"/>
      <c r="IS137" s="732"/>
    </row>
    <row r="138" s="563" customFormat="1" ht="15" spans="1:253">
      <c r="A138" s="719" t="s">
        <v>114</v>
      </c>
      <c r="B138" s="657" t="s">
        <v>223</v>
      </c>
      <c r="C138" s="698" t="s">
        <v>141</v>
      </c>
      <c r="D138" s="716" t="s">
        <v>23</v>
      </c>
      <c r="E138" s="720">
        <f>'PB VI - Memorial'!B133</f>
        <v>1.3</v>
      </c>
      <c r="F138" s="694">
        <f>F130</f>
        <v>393.85</v>
      </c>
      <c r="G138" s="694">
        <f t="shared" si="5"/>
        <v>512.01</v>
      </c>
      <c r="H138" s="711"/>
      <c r="I138" s="711"/>
      <c r="J138" s="711"/>
      <c r="K138" s="711"/>
      <c r="L138" s="711"/>
      <c r="M138" s="695">
        <f t="shared" si="22"/>
        <v>997182.95</v>
      </c>
      <c r="N138" s="729"/>
      <c r="O138" s="729"/>
      <c r="P138" s="729"/>
      <c r="Q138" s="729"/>
      <c r="R138" s="729"/>
      <c r="S138" s="729"/>
      <c r="T138" s="729"/>
      <c r="U138" s="729"/>
      <c r="V138" s="729"/>
      <c r="W138" s="729"/>
      <c r="X138" s="729"/>
      <c r="Y138" s="729"/>
      <c r="Z138" s="729"/>
      <c r="AA138" s="729"/>
      <c r="AB138" s="729"/>
      <c r="AC138" s="729"/>
      <c r="AD138" s="729"/>
      <c r="AE138" s="729"/>
      <c r="AF138" s="729"/>
      <c r="AG138" s="729"/>
      <c r="AH138" s="729"/>
      <c r="AI138" s="729"/>
      <c r="AJ138" s="729"/>
      <c r="AK138" s="729"/>
      <c r="AL138" s="729"/>
      <c r="AM138" s="729"/>
      <c r="AN138" s="729"/>
      <c r="AO138" s="729"/>
      <c r="AP138" s="729"/>
      <c r="AQ138" s="729"/>
      <c r="AR138" s="729"/>
      <c r="AS138" s="729"/>
      <c r="AT138" s="729"/>
      <c r="AU138" s="729"/>
      <c r="AV138" s="729"/>
      <c r="AW138" s="729"/>
      <c r="AX138" s="729"/>
      <c r="AY138" s="729"/>
      <c r="AZ138" s="729"/>
      <c r="BA138" s="729"/>
      <c r="BB138" s="729"/>
      <c r="BC138" s="729"/>
      <c r="BD138" s="729"/>
      <c r="BE138" s="729"/>
      <c r="BF138" s="729"/>
      <c r="BG138" s="729"/>
      <c r="BH138" s="729"/>
      <c r="BI138" s="729"/>
      <c r="BJ138" s="729"/>
      <c r="BK138" s="729"/>
      <c r="BL138" s="729"/>
      <c r="BM138" s="729"/>
      <c r="BN138" s="729"/>
      <c r="BO138" s="729"/>
      <c r="BP138" s="729"/>
      <c r="BQ138" s="729"/>
      <c r="BR138" s="729"/>
      <c r="BS138" s="729"/>
      <c r="BT138" s="729"/>
      <c r="BU138" s="729"/>
      <c r="BV138" s="729"/>
      <c r="BW138" s="732"/>
      <c r="BX138" s="732"/>
      <c r="BY138" s="732"/>
      <c r="BZ138" s="732"/>
      <c r="CA138" s="732"/>
      <c r="CB138" s="732"/>
      <c r="CC138" s="732"/>
      <c r="CD138" s="732"/>
      <c r="CE138" s="732"/>
      <c r="CF138" s="732"/>
      <c r="CG138" s="732"/>
      <c r="CH138" s="732"/>
      <c r="CI138" s="732"/>
      <c r="CJ138" s="732"/>
      <c r="CK138" s="732"/>
      <c r="CL138" s="732"/>
      <c r="CM138" s="732"/>
      <c r="CN138" s="732"/>
      <c r="CO138" s="732"/>
      <c r="CP138" s="732"/>
      <c r="CQ138" s="732"/>
      <c r="CR138" s="732"/>
      <c r="CS138" s="732"/>
      <c r="CT138" s="732"/>
      <c r="CU138" s="732"/>
      <c r="CV138" s="732"/>
      <c r="CW138" s="732"/>
      <c r="CX138" s="732"/>
      <c r="CY138" s="732"/>
      <c r="CZ138" s="732"/>
      <c r="DA138" s="732"/>
      <c r="DB138" s="732"/>
      <c r="DC138" s="732"/>
      <c r="DD138" s="732"/>
      <c r="DE138" s="732"/>
      <c r="DF138" s="732"/>
      <c r="DG138" s="732"/>
      <c r="DH138" s="732"/>
      <c r="DI138" s="732"/>
      <c r="DJ138" s="732"/>
      <c r="DK138" s="732"/>
      <c r="DL138" s="732"/>
      <c r="DM138" s="732"/>
      <c r="DN138" s="732"/>
      <c r="DO138" s="732"/>
      <c r="DP138" s="732"/>
      <c r="DQ138" s="732"/>
      <c r="DR138" s="732"/>
      <c r="DS138" s="732"/>
      <c r="DT138" s="732"/>
      <c r="DU138" s="732"/>
      <c r="DV138" s="732"/>
      <c r="DW138" s="732"/>
      <c r="DX138" s="732"/>
      <c r="DY138" s="732"/>
      <c r="DZ138" s="732"/>
      <c r="EA138" s="732"/>
      <c r="EB138" s="732"/>
      <c r="EC138" s="732"/>
      <c r="ED138" s="732"/>
      <c r="EE138" s="732"/>
      <c r="EF138" s="732"/>
      <c r="EG138" s="732"/>
      <c r="EH138" s="732"/>
      <c r="EI138" s="732"/>
      <c r="EJ138" s="732"/>
      <c r="EK138" s="732"/>
      <c r="EL138" s="732"/>
      <c r="EM138" s="732"/>
      <c r="EN138" s="732"/>
      <c r="EO138" s="732"/>
      <c r="EP138" s="732"/>
      <c r="EQ138" s="732"/>
      <c r="ER138" s="732"/>
      <c r="ES138" s="732"/>
      <c r="ET138" s="732"/>
      <c r="EU138" s="732"/>
      <c r="EV138" s="732"/>
      <c r="EW138" s="732"/>
      <c r="EX138" s="732"/>
      <c r="EY138" s="732"/>
      <c r="EZ138" s="732"/>
      <c r="FA138" s="732"/>
      <c r="FB138" s="732"/>
      <c r="FC138" s="732"/>
      <c r="FD138" s="732"/>
      <c r="FE138" s="732"/>
      <c r="FF138" s="732"/>
      <c r="FG138" s="732"/>
      <c r="FH138" s="732"/>
      <c r="FI138" s="732"/>
      <c r="FJ138" s="732"/>
      <c r="FK138" s="732"/>
      <c r="FL138" s="732"/>
      <c r="FM138" s="732"/>
      <c r="FN138" s="732"/>
      <c r="FO138" s="732"/>
      <c r="FP138" s="732"/>
      <c r="FQ138" s="732"/>
      <c r="FR138" s="732"/>
      <c r="FS138" s="732"/>
      <c r="FT138" s="732"/>
      <c r="FU138" s="732"/>
      <c r="FV138" s="732"/>
      <c r="FW138" s="732"/>
      <c r="FX138" s="732"/>
      <c r="FY138" s="732"/>
      <c r="FZ138" s="732"/>
      <c r="GA138" s="732"/>
      <c r="GB138" s="732"/>
      <c r="GC138" s="732"/>
      <c r="GD138" s="732"/>
      <c r="GE138" s="732"/>
      <c r="GF138" s="732"/>
      <c r="GG138" s="732"/>
      <c r="GH138" s="732"/>
      <c r="GI138" s="732"/>
      <c r="GJ138" s="732"/>
      <c r="GK138" s="732"/>
      <c r="GL138" s="732"/>
      <c r="GM138" s="732"/>
      <c r="GN138" s="732"/>
      <c r="GO138" s="732"/>
      <c r="GP138" s="732"/>
      <c r="GQ138" s="732"/>
      <c r="GR138" s="732"/>
      <c r="GS138" s="732"/>
      <c r="GT138" s="732"/>
      <c r="GU138" s="732"/>
      <c r="GV138" s="732"/>
      <c r="GW138" s="732"/>
      <c r="GX138" s="732"/>
      <c r="GY138" s="732"/>
      <c r="GZ138" s="732"/>
      <c r="HA138" s="732"/>
      <c r="HB138" s="732"/>
      <c r="HC138" s="732"/>
      <c r="HD138" s="732"/>
      <c r="HE138" s="732"/>
      <c r="HF138" s="732"/>
      <c r="HG138" s="732"/>
      <c r="HH138" s="732"/>
      <c r="HI138" s="732"/>
      <c r="HJ138" s="732"/>
      <c r="HK138" s="732"/>
      <c r="HL138" s="732"/>
      <c r="HM138" s="732"/>
      <c r="HN138" s="732"/>
      <c r="HO138" s="732"/>
      <c r="HP138" s="732"/>
      <c r="HQ138" s="732"/>
      <c r="HR138" s="732"/>
      <c r="HS138" s="732"/>
      <c r="HT138" s="732"/>
      <c r="HU138" s="732"/>
      <c r="HV138" s="732"/>
      <c r="HW138" s="732"/>
      <c r="HX138" s="732"/>
      <c r="HY138" s="732"/>
      <c r="HZ138" s="732"/>
      <c r="IA138" s="732"/>
      <c r="IB138" s="732"/>
      <c r="IC138" s="732"/>
      <c r="ID138" s="732"/>
      <c r="IE138" s="732"/>
      <c r="IF138" s="732"/>
      <c r="IG138" s="732"/>
      <c r="IH138" s="732"/>
      <c r="II138" s="732"/>
      <c r="IJ138" s="732"/>
      <c r="IK138" s="732"/>
      <c r="IL138" s="732"/>
      <c r="IM138" s="732"/>
      <c r="IN138" s="732"/>
      <c r="IO138" s="732"/>
      <c r="IP138" s="732"/>
      <c r="IQ138" s="732"/>
      <c r="IR138" s="732"/>
      <c r="IS138" s="732"/>
    </row>
    <row r="139" s="563" customFormat="1" ht="15" spans="1:253">
      <c r="A139" s="719" t="s">
        <v>64</v>
      </c>
      <c r="B139" s="657" t="s">
        <v>224</v>
      </c>
      <c r="C139" s="698" t="s">
        <v>118</v>
      </c>
      <c r="D139" s="716" t="s">
        <v>23</v>
      </c>
      <c r="E139" s="720">
        <f>E138</f>
        <v>1.3</v>
      </c>
      <c r="F139" s="694">
        <f>F131</f>
        <v>143.94</v>
      </c>
      <c r="G139" s="694">
        <f t="shared" si="5"/>
        <v>187.12</v>
      </c>
      <c r="H139" s="711"/>
      <c r="I139" s="711"/>
      <c r="J139" s="711"/>
      <c r="K139" s="711"/>
      <c r="L139" s="711"/>
      <c r="M139" s="695">
        <f t="shared" si="22"/>
        <v>997182.95</v>
      </c>
      <c r="N139" s="729"/>
      <c r="O139" s="729"/>
      <c r="P139" s="729"/>
      <c r="Q139" s="729"/>
      <c r="R139" s="729"/>
      <c r="S139" s="729"/>
      <c r="T139" s="729"/>
      <c r="U139" s="729"/>
      <c r="V139" s="729"/>
      <c r="W139" s="729"/>
      <c r="X139" s="729"/>
      <c r="Y139" s="729"/>
      <c r="Z139" s="729"/>
      <c r="AA139" s="729"/>
      <c r="AB139" s="729"/>
      <c r="AC139" s="729"/>
      <c r="AD139" s="729"/>
      <c r="AE139" s="729"/>
      <c r="AF139" s="729"/>
      <c r="AG139" s="729"/>
      <c r="AH139" s="729"/>
      <c r="AI139" s="729"/>
      <c r="AJ139" s="729"/>
      <c r="AK139" s="729"/>
      <c r="AL139" s="729"/>
      <c r="AM139" s="729"/>
      <c r="AN139" s="729"/>
      <c r="AO139" s="729"/>
      <c r="AP139" s="729"/>
      <c r="AQ139" s="729"/>
      <c r="AR139" s="729"/>
      <c r="AS139" s="729"/>
      <c r="AT139" s="729"/>
      <c r="AU139" s="729"/>
      <c r="AV139" s="729"/>
      <c r="AW139" s="729"/>
      <c r="AX139" s="729"/>
      <c r="AY139" s="729"/>
      <c r="AZ139" s="729"/>
      <c r="BA139" s="729"/>
      <c r="BB139" s="729"/>
      <c r="BC139" s="729"/>
      <c r="BD139" s="729"/>
      <c r="BE139" s="729"/>
      <c r="BF139" s="729"/>
      <c r="BG139" s="729"/>
      <c r="BH139" s="729"/>
      <c r="BI139" s="729"/>
      <c r="BJ139" s="729"/>
      <c r="BK139" s="729"/>
      <c r="BL139" s="729"/>
      <c r="BM139" s="729"/>
      <c r="BN139" s="729"/>
      <c r="BO139" s="729"/>
      <c r="BP139" s="729"/>
      <c r="BQ139" s="729"/>
      <c r="BR139" s="729"/>
      <c r="BS139" s="729"/>
      <c r="BT139" s="729"/>
      <c r="BU139" s="729"/>
      <c r="BV139" s="729"/>
      <c r="BW139" s="732"/>
      <c r="BX139" s="732"/>
      <c r="BY139" s="732"/>
      <c r="BZ139" s="732"/>
      <c r="CA139" s="732"/>
      <c r="CB139" s="732"/>
      <c r="CC139" s="732"/>
      <c r="CD139" s="732"/>
      <c r="CE139" s="732"/>
      <c r="CF139" s="732"/>
      <c r="CG139" s="732"/>
      <c r="CH139" s="732"/>
      <c r="CI139" s="732"/>
      <c r="CJ139" s="732"/>
      <c r="CK139" s="732"/>
      <c r="CL139" s="732"/>
      <c r="CM139" s="732"/>
      <c r="CN139" s="732"/>
      <c r="CO139" s="732"/>
      <c r="CP139" s="732"/>
      <c r="CQ139" s="732"/>
      <c r="CR139" s="732"/>
      <c r="CS139" s="732"/>
      <c r="CT139" s="732"/>
      <c r="CU139" s="732"/>
      <c r="CV139" s="732"/>
      <c r="CW139" s="732"/>
      <c r="CX139" s="732"/>
      <c r="CY139" s="732"/>
      <c r="CZ139" s="732"/>
      <c r="DA139" s="732"/>
      <c r="DB139" s="732"/>
      <c r="DC139" s="732"/>
      <c r="DD139" s="732"/>
      <c r="DE139" s="732"/>
      <c r="DF139" s="732"/>
      <c r="DG139" s="732"/>
      <c r="DH139" s="732"/>
      <c r="DI139" s="732"/>
      <c r="DJ139" s="732"/>
      <c r="DK139" s="732"/>
      <c r="DL139" s="732"/>
      <c r="DM139" s="732"/>
      <c r="DN139" s="732"/>
      <c r="DO139" s="732"/>
      <c r="DP139" s="732"/>
      <c r="DQ139" s="732"/>
      <c r="DR139" s="732"/>
      <c r="DS139" s="732"/>
      <c r="DT139" s="732"/>
      <c r="DU139" s="732"/>
      <c r="DV139" s="732"/>
      <c r="DW139" s="732"/>
      <c r="DX139" s="732"/>
      <c r="DY139" s="732"/>
      <c r="DZ139" s="732"/>
      <c r="EA139" s="732"/>
      <c r="EB139" s="732"/>
      <c r="EC139" s="732"/>
      <c r="ED139" s="732"/>
      <c r="EE139" s="732"/>
      <c r="EF139" s="732"/>
      <c r="EG139" s="732"/>
      <c r="EH139" s="732"/>
      <c r="EI139" s="732"/>
      <c r="EJ139" s="732"/>
      <c r="EK139" s="732"/>
      <c r="EL139" s="732"/>
      <c r="EM139" s="732"/>
      <c r="EN139" s="732"/>
      <c r="EO139" s="732"/>
      <c r="EP139" s="732"/>
      <c r="EQ139" s="732"/>
      <c r="ER139" s="732"/>
      <c r="ES139" s="732"/>
      <c r="ET139" s="732"/>
      <c r="EU139" s="732"/>
      <c r="EV139" s="732"/>
      <c r="EW139" s="732"/>
      <c r="EX139" s="732"/>
      <c r="EY139" s="732"/>
      <c r="EZ139" s="732"/>
      <c r="FA139" s="732"/>
      <c r="FB139" s="732"/>
      <c r="FC139" s="732"/>
      <c r="FD139" s="732"/>
      <c r="FE139" s="732"/>
      <c r="FF139" s="732"/>
      <c r="FG139" s="732"/>
      <c r="FH139" s="732"/>
      <c r="FI139" s="732"/>
      <c r="FJ139" s="732"/>
      <c r="FK139" s="732"/>
      <c r="FL139" s="732"/>
      <c r="FM139" s="732"/>
      <c r="FN139" s="732"/>
      <c r="FO139" s="732"/>
      <c r="FP139" s="732"/>
      <c r="FQ139" s="732"/>
      <c r="FR139" s="732"/>
      <c r="FS139" s="732"/>
      <c r="FT139" s="732"/>
      <c r="FU139" s="732"/>
      <c r="FV139" s="732"/>
      <c r="FW139" s="732"/>
      <c r="FX139" s="732"/>
      <c r="FY139" s="732"/>
      <c r="FZ139" s="732"/>
      <c r="GA139" s="732"/>
      <c r="GB139" s="732"/>
      <c r="GC139" s="732"/>
      <c r="GD139" s="732"/>
      <c r="GE139" s="732"/>
      <c r="GF139" s="732"/>
      <c r="GG139" s="732"/>
      <c r="GH139" s="732"/>
      <c r="GI139" s="732"/>
      <c r="GJ139" s="732"/>
      <c r="GK139" s="732"/>
      <c r="GL139" s="732"/>
      <c r="GM139" s="732"/>
      <c r="GN139" s="732"/>
      <c r="GO139" s="732"/>
      <c r="GP139" s="732"/>
      <c r="GQ139" s="732"/>
      <c r="GR139" s="732"/>
      <c r="GS139" s="732"/>
      <c r="GT139" s="732"/>
      <c r="GU139" s="732"/>
      <c r="GV139" s="732"/>
      <c r="GW139" s="732"/>
      <c r="GX139" s="732"/>
      <c r="GY139" s="732"/>
      <c r="GZ139" s="732"/>
      <c r="HA139" s="732"/>
      <c r="HB139" s="732"/>
      <c r="HC139" s="732"/>
      <c r="HD139" s="732"/>
      <c r="HE139" s="732"/>
      <c r="HF139" s="732"/>
      <c r="HG139" s="732"/>
      <c r="HH139" s="732"/>
      <c r="HI139" s="732"/>
      <c r="HJ139" s="732"/>
      <c r="HK139" s="732"/>
      <c r="HL139" s="732"/>
      <c r="HM139" s="732"/>
      <c r="HN139" s="732"/>
      <c r="HO139" s="732"/>
      <c r="HP139" s="732"/>
      <c r="HQ139" s="732"/>
      <c r="HR139" s="732"/>
      <c r="HS139" s="732"/>
      <c r="HT139" s="732"/>
      <c r="HU139" s="732"/>
      <c r="HV139" s="732"/>
      <c r="HW139" s="732"/>
      <c r="HX139" s="732"/>
      <c r="HY139" s="732"/>
      <c r="HZ139" s="732"/>
      <c r="IA139" s="732"/>
      <c r="IB139" s="732"/>
      <c r="IC139" s="732"/>
      <c r="ID139" s="732"/>
      <c r="IE139" s="732"/>
      <c r="IF139" s="732"/>
      <c r="IG139" s="732"/>
      <c r="IH139" s="732"/>
      <c r="II139" s="732"/>
      <c r="IJ139" s="732"/>
      <c r="IK139" s="732"/>
      <c r="IL139" s="732"/>
      <c r="IM139" s="732"/>
      <c r="IN139" s="732"/>
      <c r="IO139" s="732"/>
      <c r="IP139" s="732"/>
      <c r="IQ139" s="732"/>
      <c r="IR139" s="732"/>
      <c r="IS139" s="732"/>
    </row>
    <row r="140" s="563" customFormat="1" ht="15" spans="1:253">
      <c r="A140" s="719" t="s">
        <v>192</v>
      </c>
      <c r="B140" s="657" t="s">
        <v>225</v>
      </c>
      <c r="C140" s="727" t="s">
        <v>172</v>
      </c>
      <c r="D140" s="716" t="s">
        <v>17</v>
      </c>
      <c r="E140" s="720">
        <f>'PB VI - Memorial'!C133</f>
        <v>11.31</v>
      </c>
      <c r="F140" s="694">
        <v>22.82</v>
      </c>
      <c r="G140" s="694">
        <f t="shared" si="5"/>
        <v>258.09</v>
      </c>
      <c r="H140" s="711"/>
      <c r="I140" s="711"/>
      <c r="J140" s="711"/>
      <c r="K140" s="711"/>
      <c r="L140" s="711"/>
      <c r="M140" s="695">
        <f t="shared" si="22"/>
        <v>997182.95</v>
      </c>
      <c r="N140" s="729"/>
      <c r="O140" s="729"/>
      <c r="P140" s="729"/>
      <c r="Q140" s="729"/>
      <c r="R140" s="729"/>
      <c r="S140" s="729"/>
      <c r="T140" s="729"/>
      <c r="U140" s="729"/>
      <c r="V140" s="729"/>
      <c r="W140" s="729"/>
      <c r="X140" s="729"/>
      <c r="Y140" s="729"/>
      <c r="Z140" s="729"/>
      <c r="AA140" s="729"/>
      <c r="AB140" s="729"/>
      <c r="AC140" s="729"/>
      <c r="AD140" s="729"/>
      <c r="AE140" s="729"/>
      <c r="AF140" s="729"/>
      <c r="AG140" s="729"/>
      <c r="AH140" s="729"/>
      <c r="AI140" s="729"/>
      <c r="AJ140" s="729"/>
      <c r="AK140" s="729"/>
      <c r="AL140" s="729"/>
      <c r="AM140" s="729"/>
      <c r="AN140" s="729"/>
      <c r="AO140" s="729"/>
      <c r="AP140" s="729"/>
      <c r="AQ140" s="729"/>
      <c r="AR140" s="729"/>
      <c r="AS140" s="729"/>
      <c r="AT140" s="729"/>
      <c r="AU140" s="729"/>
      <c r="AV140" s="729"/>
      <c r="AW140" s="729"/>
      <c r="AX140" s="729"/>
      <c r="AY140" s="729"/>
      <c r="AZ140" s="729"/>
      <c r="BA140" s="729"/>
      <c r="BB140" s="729"/>
      <c r="BC140" s="729"/>
      <c r="BD140" s="729"/>
      <c r="BE140" s="729"/>
      <c r="BF140" s="729"/>
      <c r="BG140" s="729"/>
      <c r="BH140" s="729"/>
      <c r="BI140" s="729"/>
      <c r="BJ140" s="729"/>
      <c r="BK140" s="729"/>
      <c r="BL140" s="729"/>
      <c r="BM140" s="729"/>
      <c r="BN140" s="729"/>
      <c r="BO140" s="729"/>
      <c r="BP140" s="729"/>
      <c r="BQ140" s="729"/>
      <c r="BR140" s="729"/>
      <c r="BS140" s="729"/>
      <c r="BT140" s="729"/>
      <c r="BU140" s="729"/>
      <c r="BV140" s="729"/>
      <c r="BW140" s="732"/>
      <c r="BX140" s="732"/>
      <c r="BY140" s="732"/>
      <c r="BZ140" s="732"/>
      <c r="CA140" s="732"/>
      <c r="CB140" s="732"/>
      <c r="CC140" s="732"/>
      <c r="CD140" s="732"/>
      <c r="CE140" s="732"/>
      <c r="CF140" s="732"/>
      <c r="CG140" s="732"/>
      <c r="CH140" s="732"/>
      <c r="CI140" s="732"/>
      <c r="CJ140" s="732"/>
      <c r="CK140" s="732"/>
      <c r="CL140" s="732"/>
      <c r="CM140" s="732"/>
      <c r="CN140" s="732"/>
      <c r="CO140" s="732"/>
      <c r="CP140" s="732"/>
      <c r="CQ140" s="732"/>
      <c r="CR140" s="732"/>
      <c r="CS140" s="732"/>
      <c r="CT140" s="732"/>
      <c r="CU140" s="732"/>
      <c r="CV140" s="732"/>
      <c r="CW140" s="732"/>
      <c r="CX140" s="732"/>
      <c r="CY140" s="732"/>
      <c r="CZ140" s="732"/>
      <c r="DA140" s="732"/>
      <c r="DB140" s="732"/>
      <c r="DC140" s="732"/>
      <c r="DD140" s="732"/>
      <c r="DE140" s="732"/>
      <c r="DF140" s="732"/>
      <c r="DG140" s="732"/>
      <c r="DH140" s="732"/>
      <c r="DI140" s="732"/>
      <c r="DJ140" s="732"/>
      <c r="DK140" s="732"/>
      <c r="DL140" s="732"/>
      <c r="DM140" s="732"/>
      <c r="DN140" s="732"/>
      <c r="DO140" s="732"/>
      <c r="DP140" s="732"/>
      <c r="DQ140" s="732"/>
      <c r="DR140" s="732"/>
      <c r="DS140" s="732"/>
      <c r="DT140" s="732"/>
      <c r="DU140" s="732"/>
      <c r="DV140" s="732"/>
      <c r="DW140" s="732"/>
      <c r="DX140" s="732"/>
      <c r="DY140" s="732"/>
      <c r="DZ140" s="732"/>
      <c r="EA140" s="732"/>
      <c r="EB140" s="732"/>
      <c r="EC140" s="732"/>
      <c r="ED140" s="732"/>
      <c r="EE140" s="732"/>
      <c r="EF140" s="732"/>
      <c r="EG140" s="732"/>
      <c r="EH140" s="732"/>
      <c r="EI140" s="732"/>
      <c r="EJ140" s="732"/>
      <c r="EK140" s="732"/>
      <c r="EL140" s="732"/>
      <c r="EM140" s="732"/>
      <c r="EN140" s="732"/>
      <c r="EO140" s="732"/>
      <c r="EP140" s="732"/>
      <c r="EQ140" s="732"/>
      <c r="ER140" s="732"/>
      <c r="ES140" s="732"/>
      <c r="ET140" s="732"/>
      <c r="EU140" s="732"/>
      <c r="EV140" s="732"/>
      <c r="EW140" s="732"/>
      <c r="EX140" s="732"/>
      <c r="EY140" s="732"/>
      <c r="EZ140" s="732"/>
      <c r="FA140" s="732"/>
      <c r="FB140" s="732"/>
      <c r="FC140" s="732"/>
      <c r="FD140" s="732"/>
      <c r="FE140" s="732"/>
      <c r="FF140" s="732"/>
      <c r="FG140" s="732"/>
      <c r="FH140" s="732"/>
      <c r="FI140" s="732"/>
      <c r="FJ140" s="732"/>
      <c r="FK140" s="732"/>
      <c r="FL140" s="732"/>
      <c r="FM140" s="732"/>
      <c r="FN140" s="732"/>
      <c r="FO140" s="732"/>
      <c r="FP140" s="732"/>
      <c r="FQ140" s="732"/>
      <c r="FR140" s="732"/>
      <c r="FS140" s="732"/>
      <c r="FT140" s="732"/>
      <c r="FU140" s="732"/>
      <c r="FV140" s="732"/>
      <c r="FW140" s="732"/>
      <c r="FX140" s="732"/>
      <c r="FY140" s="732"/>
      <c r="FZ140" s="732"/>
      <c r="GA140" s="732"/>
      <c r="GB140" s="732"/>
      <c r="GC140" s="732"/>
      <c r="GD140" s="732"/>
      <c r="GE140" s="732"/>
      <c r="GF140" s="732"/>
      <c r="GG140" s="732"/>
      <c r="GH140" s="732"/>
      <c r="GI140" s="732"/>
      <c r="GJ140" s="732"/>
      <c r="GK140" s="732"/>
      <c r="GL140" s="732"/>
      <c r="GM140" s="732"/>
      <c r="GN140" s="732"/>
      <c r="GO140" s="732"/>
      <c r="GP140" s="732"/>
      <c r="GQ140" s="732"/>
      <c r="GR140" s="732"/>
      <c r="GS140" s="732"/>
      <c r="GT140" s="732"/>
      <c r="GU140" s="732"/>
      <c r="GV140" s="732"/>
      <c r="GW140" s="732"/>
      <c r="GX140" s="732"/>
      <c r="GY140" s="732"/>
      <c r="GZ140" s="732"/>
      <c r="HA140" s="732"/>
      <c r="HB140" s="732"/>
      <c r="HC140" s="732"/>
      <c r="HD140" s="732"/>
      <c r="HE140" s="732"/>
      <c r="HF140" s="732"/>
      <c r="HG140" s="732"/>
      <c r="HH140" s="732"/>
      <c r="HI140" s="732"/>
      <c r="HJ140" s="732"/>
      <c r="HK140" s="732"/>
      <c r="HL140" s="732"/>
      <c r="HM140" s="732"/>
      <c r="HN140" s="732"/>
      <c r="HO140" s="732"/>
      <c r="HP140" s="732"/>
      <c r="HQ140" s="732"/>
      <c r="HR140" s="732"/>
      <c r="HS140" s="732"/>
      <c r="HT140" s="732"/>
      <c r="HU140" s="732"/>
      <c r="HV140" s="732"/>
      <c r="HW140" s="732"/>
      <c r="HX140" s="732"/>
      <c r="HY140" s="732"/>
      <c r="HZ140" s="732"/>
      <c r="IA140" s="732"/>
      <c r="IB140" s="732"/>
      <c r="IC140" s="732"/>
      <c r="ID140" s="732"/>
      <c r="IE140" s="732"/>
      <c r="IF140" s="732"/>
      <c r="IG140" s="732"/>
      <c r="IH140" s="732"/>
      <c r="II140" s="732"/>
      <c r="IJ140" s="732"/>
      <c r="IK140" s="732"/>
      <c r="IL140" s="732"/>
      <c r="IM140" s="732"/>
      <c r="IN140" s="732"/>
      <c r="IO140" s="732"/>
      <c r="IP140" s="732"/>
      <c r="IQ140" s="732"/>
      <c r="IR140" s="732"/>
      <c r="IS140" s="732"/>
    </row>
    <row r="141" s="563" customFormat="1" ht="15" spans="1:253">
      <c r="A141" s="719" t="s">
        <v>194</v>
      </c>
      <c r="B141" s="657" t="s">
        <v>226</v>
      </c>
      <c r="C141" s="698" t="s">
        <v>123</v>
      </c>
      <c r="D141" s="716" t="s">
        <v>69</v>
      </c>
      <c r="E141" s="720">
        <f>'PB VI - Memorial'!B135</f>
        <v>19.09</v>
      </c>
      <c r="F141" s="694">
        <v>8.53</v>
      </c>
      <c r="G141" s="694">
        <f t="shared" ref="G141" si="23">ROUND(E141*F141,2)</f>
        <v>162.84</v>
      </c>
      <c r="H141" s="711"/>
      <c r="I141" s="711"/>
      <c r="J141" s="711"/>
      <c r="K141" s="711"/>
      <c r="L141" s="711"/>
      <c r="M141" s="695">
        <f t="shared" si="22"/>
        <v>997182.95</v>
      </c>
      <c r="N141" s="729"/>
      <c r="O141" s="729"/>
      <c r="P141" s="729"/>
      <c r="Q141" s="729"/>
      <c r="R141" s="729"/>
      <c r="S141" s="729"/>
      <c r="T141" s="729"/>
      <c r="U141" s="729"/>
      <c r="V141" s="729"/>
      <c r="W141" s="729"/>
      <c r="X141" s="729"/>
      <c r="Y141" s="729"/>
      <c r="Z141" s="729"/>
      <c r="AA141" s="729"/>
      <c r="AB141" s="729"/>
      <c r="AC141" s="729"/>
      <c r="AD141" s="729"/>
      <c r="AE141" s="729"/>
      <c r="AF141" s="729"/>
      <c r="AG141" s="729"/>
      <c r="AH141" s="729"/>
      <c r="AI141" s="729"/>
      <c r="AJ141" s="729"/>
      <c r="AK141" s="729"/>
      <c r="AL141" s="729"/>
      <c r="AM141" s="729"/>
      <c r="AN141" s="729"/>
      <c r="AO141" s="729"/>
      <c r="AP141" s="729"/>
      <c r="AQ141" s="729"/>
      <c r="AR141" s="729"/>
      <c r="AS141" s="729"/>
      <c r="AT141" s="729"/>
      <c r="AU141" s="729"/>
      <c r="AV141" s="729"/>
      <c r="AW141" s="729"/>
      <c r="AX141" s="729"/>
      <c r="AY141" s="729"/>
      <c r="AZ141" s="729"/>
      <c r="BA141" s="729"/>
      <c r="BB141" s="729"/>
      <c r="BC141" s="729"/>
      <c r="BD141" s="729"/>
      <c r="BE141" s="729"/>
      <c r="BF141" s="729"/>
      <c r="BG141" s="729"/>
      <c r="BH141" s="729"/>
      <c r="BI141" s="729"/>
      <c r="BJ141" s="729"/>
      <c r="BK141" s="729"/>
      <c r="BL141" s="729"/>
      <c r="BM141" s="729"/>
      <c r="BN141" s="729"/>
      <c r="BO141" s="729"/>
      <c r="BP141" s="729"/>
      <c r="BQ141" s="729"/>
      <c r="BR141" s="729"/>
      <c r="BS141" s="729"/>
      <c r="BT141" s="729"/>
      <c r="BU141" s="729"/>
      <c r="BV141" s="729"/>
      <c r="BW141" s="732"/>
      <c r="BX141" s="732"/>
      <c r="BY141" s="732"/>
      <c r="BZ141" s="732"/>
      <c r="CA141" s="732"/>
      <c r="CB141" s="732"/>
      <c r="CC141" s="732"/>
      <c r="CD141" s="732"/>
      <c r="CE141" s="732"/>
      <c r="CF141" s="732"/>
      <c r="CG141" s="732"/>
      <c r="CH141" s="732"/>
      <c r="CI141" s="732"/>
      <c r="CJ141" s="732"/>
      <c r="CK141" s="732"/>
      <c r="CL141" s="732"/>
      <c r="CM141" s="732"/>
      <c r="CN141" s="732"/>
      <c r="CO141" s="732"/>
      <c r="CP141" s="732"/>
      <c r="CQ141" s="732"/>
      <c r="CR141" s="732"/>
      <c r="CS141" s="732"/>
      <c r="CT141" s="732"/>
      <c r="CU141" s="732"/>
      <c r="CV141" s="732"/>
      <c r="CW141" s="732"/>
      <c r="CX141" s="732"/>
      <c r="CY141" s="732"/>
      <c r="CZ141" s="732"/>
      <c r="DA141" s="732"/>
      <c r="DB141" s="732"/>
      <c r="DC141" s="732"/>
      <c r="DD141" s="732"/>
      <c r="DE141" s="732"/>
      <c r="DF141" s="732"/>
      <c r="DG141" s="732"/>
      <c r="DH141" s="732"/>
      <c r="DI141" s="732"/>
      <c r="DJ141" s="732"/>
      <c r="DK141" s="732"/>
      <c r="DL141" s="732"/>
      <c r="DM141" s="732"/>
      <c r="DN141" s="732"/>
      <c r="DO141" s="732"/>
      <c r="DP141" s="732"/>
      <c r="DQ141" s="732"/>
      <c r="DR141" s="732"/>
      <c r="DS141" s="732"/>
      <c r="DT141" s="732"/>
      <c r="DU141" s="732"/>
      <c r="DV141" s="732"/>
      <c r="DW141" s="732"/>
      <c r="DX141" s="732"/>
      <c r="DY141" s="732"/>
      <c r="DZ141" s="732"/>
      <c r="EA141" s="732"/>
      <c r="EB141" s="732"/>
      <c r="EC141" s="732"/>
      <c r="ED141" s="732"/>
      <c r="EE141" s="732"/>
      <c r="EF141" s="732"/>
      <c r="EG141" s="732"/>
      <c r="EH141" s="732"/>
      <c r="EI141" s="732"/>
      <c r="EJ141" s="732"/>
      <c r="EK141" s="732"/>
      <c r="EL141" s="732"/>
      <c r="EM141" s="732"/>
      <c r="EN141" s="732"/>
      <c r="EO141" s="732"/>
      <c r="EP141" s="732"/>
      <c r="EQ141" s="732"/>
      <c r="ER141" s="732"/>
      <c r="ES141" s="732"/>
      <c r="ET141" s="732"/>
      <c r="EU141" s="732"/>
      <c r="EV141" s="732"/>
      <c r="EW141" s="732"/>
      <c r="EX141" s="732"/>
      <c r="EY141" s="732"/>
      <c r="EZ141" s="732"/>
      <c r="FA141" s="732"/>
      <c r="FB141" s="732"/>
      <c r="FC141" s="732"/>
      <c r="FD141" s="732"/>
      <c r="FE141" s="732"/>
      <c r="FF141" s="732"/>
      <c r="FG141" s="732"/>
      <c r="FH141" s="732"/>
      <c r="FI141" s="732"/>
      <c r="FJ141" s="732"/>
      <c r="FK141" s="732"/>
      <c r="FL141" s="732"/>
      <c r="FM141" s="732"/>
      <c r="FN141" s="732"/>
      <c r="FO141" s="732"/>
      <c r="FP141" s="732"/>
      <c r="FQ141" s="732"/>
      <c r="FR141" s="732"/>
      <c r="FS141" s="732"/>
      <c r="FT141" s="732"/>
      <c r="FU141" s="732"/>
      <c r="FV141" s="732"/>
      <c r="FW141" s="732"/>
      <c r="FX141" s="732"/>
      <c r="FY141" s="732"/>
      <c r="FZ141" s="732"/>
      <c r="GA141" s="732"/>
      <c r="GB141" s="732"/>
      <c r="GC141" s="732"/>
      <c r="GD141" s="732"/>
      <c r="GE141" s="732"/>
      <c r="GF141" s="732"/>
      <c r="GG141" s="732"/>
      <c r="GH141" s="732"/>
      <c r="GI141" s="732"/>
      <c r="GJ141" s="732"/>
      <c r="GK141" s="732"/>
      <c r="GL141" s="732"/>
      <c r="GM141" s="732"/>
      <c r="GN141" s="732"/>
      <c r="GO141" s="732"/>
      <c r="GP141" s="732"/>
      <c r="GQ141" s="732"/>
      <c r="GR141" s="732"/>
      <c r="GS141" s="732"/>
      <c r="GT141" s="732"/>
      <c r="GU141" s="732"/>
      <c r="GV141" s="732"/>
      <c r="GW141" s="732"/>
      <c r="GX141" s="732"/>
      <c r="GY141" s="732"/>
      <c r="GZ141" s="732"/>
      <c r="HA141" s="732"/>
      <c r="HB141" s="732"/>
      <c r="HC141" s="732"/>
      <c r="HD141" s="732"/>
      <c r="HE141" s="732"/>
      <c r="HF141" s="732"/>
      <c r="HG141" s="732"/>
      <c r="HH141" s="732"/>
      <c r="HI141" s="732"/>
      <c r="HJ141" s="732"/>
      <c r="HK141" s="732"/>
      <c r="HL141" s="732"/>
      <c r="HM141" s="732"/>
      <c r="HN141" s="732"/>
      <c r="HO141" s="732"/>
      <c r="HP141" s="732"/>
      <c r="HQ141" s="732"/>
      <c r="HR141" s="732"/>
      <c r="HS141" s="732"/>
      <c r="HT141" s="732"/>
      <c r="HU141" s="732"/>
      <c r="HV141" s="732"/>
      <c r="HW141" s="732"/>
      <c r="HX141" s="732"/>
      <c r="HY141" s="732"/>
      <c r="HZ141" s="732"/>
      <c r="IA141" s="732"/>
      <c r="IB141" s="732"/>
      <c r="IC141" s="732"/>
      <c r="ID141" s="732"/>
      <c r="IE141" s="732"/>
      <c r="IF141" s="732"/>
      <c r="IG141" s="732"/>
      <c r="IH141" s="732"/>
      <c r="II141" s="732"/>
      <c r="IJ141" s="732"/>
      <c r="IK141" s="732"/>
      <c r="IL141" s="732"/>
      <c r="IM141" s="732"/>
      <c r="IN141" s="732"/>
      <c r="IO141" s="732"/>
      <c r="IP141" s="732"/>
      <c r="IQ141" s="732"/>
      <c r="IR141" s="732"/>
      <c r="IS141" s="732"/>
    </row>
    <row r="142" s="563" customFormat="1" ht="15" spans="1:253">
      <c r="A142" s="719" t="s">
        <v>202</v>
      </c>
      <c r="B142" s="657" t="s">
        <v>227</v>
      </c>
      <c r="C142" s="698" t="s">
        <v>162</v>
      </c>
      <c r="D142" s="716" t="s">
        <v>69</v>
      </c>
      <c r="E142" s="720">
        <f>'PB VI - Memorial'!G135</f>
        <v>9.45</v>
      </c>
      <c r="F142" s="694">
        <v>9.74</v>
      </c>
      <c r="G142" s="694">
        <f t="shared" si="5"/>
        <v>92.04</v>
      </c>
      <c r="H142" s="711"/>
      <c r="I142" s="711"/>
      <c r="J142" s="711"/>
      <c r="K142" s="711"/>
      <c r="L142" s="711"/>
      <c r="M142" s="695">
        <f t="shared" si="22"/>
        <v>997182.95</v>
      </c>
      <c r="N142" s="729"/>
      <c r="O142" s="729"/>
      <c r="P142" s="729"/>
      <c r="Q142" s="729"/>
      <c r="R142" s="729"/>
      <c r="S142" s="729"/>
      <c r="T142" s="729"/>
      <c r="U142" s="729"/>
      <c r="V142" s="729"/>
      <c r="W142" s="729"/>
      <c r="X142" s="729"/>
      <c r="Y142" s="729"/>
      <c r="Z142" s="729"/>
      <c r="AA142" s="729"/>
      <c r="AB142" s="729"/>
      <c r="AC142" s="729"/>
      <c r="AD142" s="729"/>
      <c r="AE142" s="729"/>
      <c r="AF142" s="729"/>
      <c r="AG142" s="729"/>
      <c r="AH142" s="729"/>
      <c r="AI142" s="729"/>
      <c r="AJ142" s="729"/>
      <c r="AK142" s="729"/>
      <c r="AL142" s="729"/>
      <c r="AM142" s="729"/>
      <c r="AN142" s="729"/>
      <c r="AO142" s="729"/>
      <c r="AP142" s="729"/>
      <c r="AQ142" s="729"/>
      <c r="AR142" s="729"/>
      <c r="AS142" s="729"/>
      <c r="AT142" s="729"/>
      <c r="AU142" s="729"/>
      <c r="AV142" s="729"/>
      <c r="AW142" s="729"/>
      <c r="AX142" s="729"/>
      <c r="AY142" s="729"/>
      <c r="AZ142" s="729"/>
      <c r="BA142" s="729"/>
      <c r="BB142" s="729"/>
      <c r="BC142" s="729"/>
      <c r="BD142" s="729"/>
      <c r="BE142" s="729"/>
      <c r="BF142" s="729"/>
      <c r="BG142" s="729"/>
      <c r="BH142" s="729"/>
      <c r="BI142" s="729"/>
      <c r="BJ142" s="729"/>
      <c r="BK142" s="729"/>
      <c r="BL142" s="729"/>
      <c r="BM142" s="729"/>
      <c r="BN142" s="729"/>
      <c r="BO142" s="729"/>
      <c r="BP142" s="729"/>
      <c r="BQ142" s="729"/>
      <c r="BR142" s="729"/>
      <c r="BS142" s="729"/>
      <c r="BT142" s="729"/>
      <c r="BU142" s="729"/>
      <c r="BV142" s="729"/>
      <c r="BW142" s="732"/>
      <c r="BX142" s="732"/>
      <c r="BY142" s="732"/>
      <c r="BZ142" s="732"/>
      <c r="CA142" s="732"/>
      <c r="CB142" s="732"/>
      <c r="CC142" s="732"/>
      <c r="CD142" s="732"/>
      <c r="CE142" s="732"/>
      <c r="CF142" s="732"/>
      <c r="CG142" s="732"/>
      <c r="CH142" s="732"/>
      <c r="CI142" s="732"/>
      <c r="CJ142" s="732"/>
      <c r="CK142" s="732"/>
      <c r="CL142" s="732"/>
      <c r="CM142" s="732"/>
      <c r="CN142" s="732"/>
      <c r="CO142" s="732"/>
      <c r="CP142" s="732"/>
      <c r="CQ142" s="732"/>
      <c r="CR142" s="732"/>
      <c r="CS142" s="732"/>
      <c r="CT142" s="732"/>
      <c r="CU142" s="732"/>
      <c r="CV142" s="732"/>
      <c r="CW142" s="732"/>
      <c r="CX142" s="732"/>
      <c r="CY142" s="732"/>
      <c r="CZ142" s="732"/>
      <c r="DA142" s="732"/>
      <c r="DB142" s="732"/>
      <c r="DC142" s="732"/>
      <c r="DD142" s="732"/>
      <c r="DE142" s="732"/>
      <c r="DF142" s="732"/>
      <c r="DG142" s="732"/>
      <c r="DH142" s="732"/>
      <c r="DI142" s="732"/>
      <c r="DJ142" s="732"/>
      <c r="DK142" s="732"/>
      <c r="DL142" s="732"/>
      <c r="DM142" s="732"/>
      <c r="DN142" s="732"/>
      <c r="DO142" s="732"/>
      <c r="DP142" s="732"/>
      <c r="DQ142" s="732"/>
      <c r="DR142" s="732"/>
      <c r="DS142" s="732"/>
      <c r="DT142" s="732"/>
      <c r="DU142" s="732"/>
      <c r="DV142" s="732"/>
      <c r="DW142" s="732"/>
      <c r="DX142" s="732"/>
      <c r="DY142" s="732"/>
      <c r="DZ142" s="732"/>
      <c r="EA142" s="732"/>
      <c r="EB142" s="732"/>
      <c r="EC142" s="732"/>
      <c r="ED142" s="732"/>
      <c r="EE142" s="732"/>
      <c r="EF142" s="732"/>
      <c r="EG142" s="732"/>
      <c r="EH142" s="732"/>
      <c r="EI142" s="732"/>
      <c r="EJ142" s="732"/>
      <c r="EK142" s="732"/>
      <c r="EL142" s="732"/>
      <c r="EM142" s="732"/>
      <c r="EN142" s="732"/>
      <c r="EO142" s="732"/>
      <c r="EP142" s="732"/>
      <c r="EQ142" s="732"/>
      <c r="ER142" s="732"/>
      <c r="ES142" s="732"/>
      <c r="ET142" s="732"/>
      <c r="EU142" s="732"/>
      <c r="EV142" s="732"/>
      <c r="EW142" s="732"/>
      <c r="EX142" s="732"/>
      <c r="EY142" s="732"/>
      <c r="EZ142" s="732"/>
      <c r="FA142" s="732"/>
      <c r="FB142" s="732"/>
      <c r="FC142" s="732"/>
      <c r="FD142" s="732"/>
      <c r="FE142" s="732"/>
      <c r="FF142" s="732"/>
      <c r="FG142" s="732"/>
      <c r="FH142" s="732"/>
      <c r="FI142" s="732"/>
      <c r="FJ142" s="732"/>
      <c r="FK142" s="732"/>
      <c r="FL142" s="732"/>
      <c r="FM142" s="732"/>
      <c r="FN142" s="732"/>
      <c r="FO142" s="732"/>
      <c r="FP142" s="732"/>
      <c r="FQ142" s="732"/>
      <c r="FR142" s="732"/>
      <c r="FS142" s="732"/>
      <c r="FT142" s="732"/>
      <c r="FU142" s="732"/>
      <c r="FV142" s="732"/>
      <c r="FW142" s="732"/>
      <c r="FX142" s="732"/>
      <c r="FY142" s="732"/>
      <c r="FZ142" s="732"/>
      <c r="GA142" s="732"/>
      <c r="GB142" s="732"/>
      <c r="GC142" s="732"/>
      <c r="GD142" s="732"/>
      <c r="GE142" s="732"/>
      <c r="GF142" s="732"/>
      <c r="GG142" s="732"/>
      <c r="GH142" s="732"/>
      <c r="GI142" s="732"/>
      <c r="GJ142" s="732"/>
      <c r="GK142" s="732"/>
      <c r="GL142" s="732"/>
      <c r="GM142" s="732"/>
      <c r="GN142" s="732"/>
      <c r="GO142" s="732"/>
      <c r="GP142" s="732"/>
      <c r="GQ142" s="732"/>
      <c r="GR142" s="732"/>
      <c r="GS142" s="732"/>
      <c r="GT142" s="732"/>
      <c r="GU142" s="732"/>
      <c r="GV142" s="732"/>
      <c r="GW142" s="732"/>
      <c r="GX142" s="732"/>
      <c r="GY142" s="732"/>
      <c r="GZ142" s="732"/>
      <c r="HA142" s="732"/>
      <c r="HB142" s="732"/>
      <c r="HC142" s="732"/>
      <c r="HD142" s="732"/>
      <c r="HE142" s="732"/>
      <c r="HF142" s="732"/>
      <c r="HG142" s="732"/>
      <c r="HH142" s="732"/>
      <c r="HI142" s="732"/>
      <c r="HJ142" s="732"/>
      <c r="HK142" s="732"/>
      <c r="HL142" s="732"/>
      <c r="HM142" s="732"/>
      <c r="HN142" s="732"/>
      <c r="HO142" s="732"/>
      <c r="HP142" s="732"/>
      <c r="HQ142" s="732"/>
      <c r="HR142" s="732"/>
      <c r="HS142" s="732"/>
      <c r="HT142" s="732"/>
      <c r="HU142" s="732"/>
      <c r="HV142" s="732"/>
      <c r="HW142" s="732"/>
      <c r="HX142" s="732"/>
      <c r="HY142" s="732"/>
      <c r="HZ142" s="732"/>
      <c r="IA142" s="732"/>
      <c r="IB142" s="732"/>
      <c r="IC142" s="732"/>
      <c r="ID142" s="732"/>
      <c r="IE142" s="732"/>
      <c r="IF142" s="732"/>
      <c r="IG142" s="732"/>
      <c r="IH142" s="732"/>
      <c r="II142" s="732"/>
      <c r="IJ142" s="732"/>
      <c r="IK142" s="732"/>
      <c r="IL142" s="732"/>
      <c r="IM142" s="732"/>
      <c r="IN142" s="732"/>
      <c r="IO142" s="732"/>
      <c r="IP142" s="732"/>
      <c r="IQ142" s="732"/>
      <c r="IR142" s="732"/>
      <c r="IS142" s="732"/>
    </row>
    <row r="143" s="563" customFormat="1" ht="22.5" spans="1:253">
      <c r="A143" s="719" t="s">
        <v>228</v>
      </c>
      <c r="B143" s="657" t="s">
        <v>229</v>
      </c>
      <c r="C143" s="698" t="s">
        <v>230</v>
      </c>
      <c r="D143" s="716" t="s">
        <v>17</v>
      </c>
      <c r="E143" s="720">
        <v>10.35</v>
      </c>
      <c r="F143" s="694">
        <v>70.61</v>
      </c>
      <c r="G143" s="694">
        <f t="shared" si="5"/>
        <v>730.81</v>
      </c>
      <c r="H143" s="711"/>
      <c r="I143" s="711"/>
      <c r="J143" s="711"/>
      <c r="K143" s="711"/>
      <c r="L143" s="711"/>
      <c r="M143" s="695">
        <f t="shared" si="22"/>
        <v>997182.95</v>
      </c>
      <c r="N143" s="729"/>
      <c r="O143" s="729"/>
      <c r="P143" s="729"/>
      <c r="Q143" s="729"/>
      <c r="R143" s="729"/>
      <c r="S143" s="729"/>
      <c r="T143" s="729"/>
      <c r="U143" s="729"/>
      <c r="V143" s="729"/>
      <c r="W143" s="729"/>
      <c r="X143" s="729"/>
      <c r="Y143" s="729"/>
      <c r="Z143" s="729"/>
      <c r="AA143" s="729"/>
      <c r="AB143" s="729"/>
      <c r="AC143" s="729"/>
      <c r="AD143" s="729"/>
      <c r="AE143" s="729"/>
      <c r="AF143" s="729"/>
      <c r="AG143" s="729"/>
      <c r="AH143" s="729"/>
      <c r="AI143" s="729"/>
      <c r="AJ143" s="729"/>
      <c r="AK143" s="729"/>
      <c r="AL143" s="729"/>
      <c r="AM143" s="729"/>
      <c r="AN143" s="729"/>
      <c r="AO143" s="729"/>
      <c r="AP143" s="729"/>
      <c r="AQ143" s="729"/>
      <c r="AR143" s="729"/>
      <c r="AS143" s="729"/>
      <c r="AT143" s="729"/>
      <c r="AU143" s="729"/>
      <c r="AV143" s="729"/>
      <c r="AW143" s="729"/>
      <c r="AX143" s="729"/>
      <c r="AY143" s="729"/>
      <c r="AZ143" s="729"/>
      <c r="BA143" s="729"/>
      <c r="BB143" s="729"/>
      <c r="BC143" s="729"/>
      <c r="BD143" s="729"/>
      <c r="BE143" s="729"/>
      <c r="BF143" s="729"/>
      <c r="BG143" s="729"/>
      <c r="BH143" s="729"/>
      <c r="BI143" s="729"/>
      <c r="BJ143" s="729"/>
      <c r="BK143" s="729"/>
      <c r="BL143" s="729"/>
      <c r="BM143" s="729"/>
      <c r="BN143" s="729"/>
      <c r="BO143" s="729"/>
      <c r="BP143" s="729"/>
      <c r="BQ143" s="729"/>
      <c r="BR143" s="729"/>
      <c r="BS143" s="729"/>
      <c r="BT143" s="729"/>
      <c r="BU143" s="729"/>
      <c r="BV143" s="729"/>
      <c r="BW143" s="732"/>
      <c r="BX143" s="732"/>
      <c r="BY143" s="732"/>
      <c r="BZ143" s="732"/>
      <c r="CA143" s="732"/>
      <c r="CB143" s="732"/>
      <c r="CC143" s="732"/>
      <c r="CD143" s="732"/>
      <c r="CE143" s="732"/>
      <c r="CF143" s="732"/>
      <c r="CG143" s="732"/>
      <c r="CH143" s="732"/>
      <c r="CI143" s="732"/>
      <c r="CJ143" s="732"/>
      <c r="CK143" s="732"/>
      <c r="CL143" s="732"/>
      <c r="CM143" s="732"/>
      <c r="CN143" s="732"/>
      <c r="CO143" s="732"/>
      <c r="CP143" s="732"/>
      <c r="CQ143" s="732"/>
      <c r="CR143" s="732"/>
      <c r="CS143" s="732"/>
      <c r="CT143" s="732"/>
      <c r="CU143" s="732"/>
      <c r="CV143" s="732"/>
      <c r="CW143" s="732"/>
      <c r="CX143" s="732"/>
      <c r="CY143" s="732"/>
      <c r="CZ143" s="732"/>
      <c r="DA143" s="732"/>
      <c r="DB143" s="732"/>
      <c r="DC143" s="732"/>
      <c r="DD143" s="732"/>
      <c r="DE143" s="732"/>
      <c r="DF143" s="732"/>
      <c r="DG143" s="732"/>
      <c r="DH143" s="732"/>
      <c r="DI143" s="732"/>
      <c r="DJ143" s="732"/>
      <c r="DK143" s="732"/>
      <c r="DL143" s="732"/>
      <c r="DM143" s="732"/>
      <c r="DN143" s="732"/>
      <c r="DO143" s="732"/>
      <c r="DP143" s="732"/>
      <c r="DQ143" s="732"/>
      <c r="DR143" s="732"/>
      <c r="DS143" s="732"/>
      <c r="DT143" s="732"/>
      <c r="DU143" s="732"/>
      <c r="DV143" s="732"/>
      <c r="DW143" s="732"/>
      <c r="DX143" s="732"/>
      <c r="DY143" s="732"/>
      <c r="DZ143" s="732"/>
      <c r="EA143" s="732"/>
      <c r="EB143" s="732"/>
      <c r="EC143" s="732"/>
      <c r="ED143" s="732"/>
      <c r="EE143" s="732"/>
      <c r="EF143" s="732"/>
      <c r="EG143" s="732"/>
      <c r="EH143" s="732"/>
      <c r="EI143" s="732"/>
      <c r="EJ143" s="732"/>
      <c r="EK143" s="732"/>
      <c r="EL143" s="732"/>
      <c r="EM143" s="732"/>
      <c r="EN143" s="732"/>
      <c r="EO143" s="732"/>
      <c r="EP143" s="732"/>
      <c r="EQ143" s="732"/>
      <c r="ER143" s="732"/>
      <c r="ES143" s="732"/>
      <c r="ET143" s="732"/>
      <c r="EU143" s="732"/>
      <c r="EV143" s="732"/>
      <c r="EW143" s="732"/>
      <c r="EX143" s="732"/>
      <c r="EY143" s="732"/>
      <c r="EZ143" s="732"/>
      <c r="FA143" s="732"/>
      <c r="FB143" s="732"/>
      <c r="FC143" s="732"/>
      <c r="FD143" s="732"/>
      <c r="FE143" s="732"/>
      <c r="FF143" s="732"/>
      <c r="FG143" s="732"/>
      <c r="FH143" s="732"/>
      <c r="FI143" s="732"/>
      <c r="FJ143" s="732"/>
      <c r="FK143" s="732"/>
      <c r="FL143" s="732"/>
      <c r="FM143" s="732"/>
      <c r="FN143" s="732"/>
      <c r="FO143" s="732"/>
      <c r="FP143" s="732"/>
      <c r="FQ143" s="732"/>
      <c r="FR143" s="732"/>
      <c r="FS143" s="732"/>
      <c r="FT143" s="732"/>
      <c r="FU143" s="732"/>
      <c r="FV143" s="732"/>
      <c r="FW143" s="732"/>
      <c r="FX143" s="732"/>
      <c r="FY143" s="732"/>
      <c r="FZ143" s="732"/>
      <c r="GA143" s="732"/>
      <c r="GB143" s="732"/>
      <c r="GC143" s="732"/>
      <c r="GD143" s="732"/>
      <c r="GE143" s="732"/>
      <c r="GF143" s="732"/>
      <c r="GG143" s="732"/>
      <c r="GH143" s="732"/>
      <c r="GI143" s="732"/>
      <c r="GJ143" s="732"/>
      <c r="GK143" s="732"/>
      <c r="GL143" s="732"/>
      <c r="GM143" s="732"/>
      <c r="GN143" s="732"/>
      <c r="GO143" s="732"/>
      <c r="GP143" s="732"/>
      <c r="GQ143" s="732"/>
      <c r="GR143" s="732"/>
      <c r="GS143" s="732"/>
      <c r="GT143" s="732"/>
      <c r="GU143" s="732"/>
      <c r="GV143" s="732"/>
      <c r="GW143" s="732"/>
      <c r="GX143" s="732"/>
      <c r="GY143" s="732"/>
      <c r="GZ143" s="732"/>
      <c r="HA143" s="732"/>
      <c r="HB143" s="732"/>
      <c r="HC143" s="732"/>
      <c r="HD143" s="732"/>
      <c r="HE143" s="732"/>
      <c r="HF143" s="732"/>
      <c r="HG143" s="732"/>
      <c r="HH143" s="732"/>
      <c r="HI143" s="732"/>
      <c r="HJ143" s="732"/>
      <c r="HK143" s="732"/>
      <c r="HL143" s="732"/>
      <c r="HM143" s="732"/>
      <c r="HN143" s="732"/>
      <c r="HO143" s="732"/>
      <c r="HP143" s="732"/>
      <c r="HQ143" s="732"/>
      <c r="HR143" s="732"/>
      <c r="HS143" s="732"/>
      <c r="HT143" s="732"/>
      <c r="HU143" s="732"/>
      <c r="HV143" s="732"/>
      <c r="HW143" s="732"/>
      <c r="HX143" s="732"/>
      <c r="HY143" s="732"/>
      <c r="HZ143" s="732"/>
      <c r="IA143" s="732"/>
      <c r="IB143" s="732"/>
      <c r="IC143" s="732"/>
      <c r="ID143" s="732"/>
      <c r="IE143" s="732"/>
      <c r="IF143" s="732"/>
      <c r="IG143" s="732"/>
      <c r="IH143" s="732"/>
      <c r="II143" s="732"/>
      <c r="IJ143" s="732"/>
      <c r="IK143" s="732"/>
      <c r="IL143" s="732"/>
      <c r="IM143" s="732"/>
      <c r="IN143" s="732"/>
      <c r="IO143" s="732"/>
      <c r="IP143" s="732"/>
      <c r="IQ143" s="732"/>
      <c r="IR143" s="732"/>
      <c r="IS143" s="732"/>
    </row>
    <row r="144" s="563" customFormat="1" ht="15" spans="1:253">
      <c r="A144" s="719"/>
      <c r="B144" s="657"/>
      <c r="C144" s="698"/>
      <c r="D144" s="716"/>
      <c r="E144" s="720"/>
      <c r="F144" s="718"/>
      <c r="G144" s="718"/>
      <c r="H144" s="711"/>
      <c r="I144" s="711"/>
      <c r="J144" s="711"/>
      <c r="K144" s="711"/>
      <c r="L144" s="711"/>
      <c r="M144" s="695">
        <f t="shared" si="22"/>
        <v>997182.95</v>
      </c>
      <c r="N144" s="729"/>
      <c r="O144" s="729"/>
      <c r="P144" s="729"/>
      <c r="Q144" s="729"/>
      <c r="R144" s="729"/>
      <c r="S144" s="729"/>
      <c r="T144" s="729"/>
      <c r="U144" s="729"/>
      <c r="V144" s="729"/>
      <c r="W144" s="729"/>
      <c r="X144" s="729"/>
      <c r="Y144" s="729"/>
      <c r="Z144" s="729"/>
      <c r="AA144" s="729"/>
      <c r="AB144" s="729"/>
      <c r="AC144" s="729"/>
      <c r="AD144" s="729"/>
      <c r="AE144" s="729"/>
      <c r="AF144" s="729"/>
      <c r="AG144" s="729"/>
      <c r="AH144" s="729"/>
      <c r="AI144" s="729"/>
      <c r="AJ144" s="729"/>
      <c r="AK144" s="729"/>
      <c r="AL144" s="729"/>
      <c r="AM144" s="729"/>
      <c r="AN144" s="729"/>
      <c r="AO144" s="729"/>
      <c r="AP144" s="729"/>
      <c r="AQ144" s="729"/>
      <c r="AR144" s="729"/>
      <c r="AS144" s="729"/>
      <c r="AT144" s="729"/>
      <c r="AU144" s="729"/>
      <c r="AV144" s="729"/>
      <c r="AW144" s="729"/>
      <c r="AX144" s="729"/>
      <c r="AY144" s="729"/>
      <c r="AZ144" s="729"/>
      <c r="BA144" s="729"/>
      <c r="BB144" s="729"/>
      <c r="BC144" s="729"/>
      <c r="BD144" s="729"/>
      <c r="BE144" s="729"/>
      <c r="BF144" s="729"/>
      <c r="BG144" s="729"/>
      <c r="BH144" s="729"/>
      <c r="BI144" s="729"/>
      <c r="BJ144" s="729"/>
      <c r="BK144" s="729"/>
      <c r="BL144" s="729"/>
      <c r="BM144" s="729"/>
      <c r="BN144" s="729"/>
      <c r="BO144" s="729"/>
      <c r="BP144" s="729"/>
      <c r="BQ144" s="729"/>
      <c r="BR144" s="729"/>
      <c r="BS144" s="729"/>
      <c r="BT144" s="729"/>
      <c r="BU144" s="729"/>
      <c r="BV144" s="729"/>
      <c r="BW144" s="732"/>
      <c r="BX144" s="732"/>
      <c r="BY144" s="732"/>
      <c r="BZ144" s="732"/>
      <c r="CA144" s="732"/>
      <c r="CB144" s="732"/>
      <c r="CC144" s="732"/>
      <c r="CD144" s="732"/>
      <c r="CE144" s="732"/>
      <c r="CF144" s="732"/>
      <c r="CG144" s="732"/>
      <c r="CH144" s="732"/>
      <c r="CI144" s="732"/>
      <c r="CJ144" s="732"/>
      <c r="CK144" s="732"/>
      <c r="CL144" s="732"/>
      <c r="CM144" s="732"/>
      <c r="CN144" s="732"/>
      <c r="CO144" s="732"/>
      <c r="CP144" s="732"/>
      <c r="CQ144" s="732"/>
      <c r="CR144" s="732"/>
      <c r="CS144" s="732"/>
      <c r="CT144" s="732"/>
      <c r="CU144" s="732"/>
      <c r="CV144" s="732"/>
      <c r="CW144" s="732"/>
      <c r="CX144" s="732"/>
      <c r="CY144" s="732"/>
      <c r="CZ144" s="732"/>
      <c r="DA144" s="732"/>
      <c r="DB144" s="732"/>
      <c r="DC144" s="732"/>
      <c r="DD144" s="732"/>
      <c r="DE144" s="732"/>
      <c r="DF144" s="732"/>
      <c r="DG144" s="732"/>
      <c r="DH144" s="732"/>
      <c r="DI144" s="732"/>
      <c r="DJ144" s="732"/>
      <c r="DK144" s="732"/>
      <c r="DL144" s="732"/>
      <c r="DM144" s="732"/>
      <c r="DN144" s="732"/>
      <c r="DO144" s="732"/>
      <c r="DP144" s="732"/>
      <c r="DQ144" s="732"/>
      <c r="DR144" s="732"/>
      <c r="DS144" s="732"/>
      <c r="DT144" s="732"/>
      <c r="DU144" s="732"/>
      <c r="DV144" s="732"/>
      <c r="DW144" s="732"/>
      <c r="DX144" s="732"/>
      <c r="DY144" s="732"/>
      <c r="DZ144" s="732"/>
      <c r="EA144" s="732"/>
      <c r="EB144" s="732"/>
      <c r="EC144" s="732"/>
      <c r="ED144" s="732"/>
      <c r="EE144" s="732"/>
      <c r="EF144" s="732"/>
      <c r="EG144" s="732"/>
      <c r="EH144" s="732"/>
      <c r="EI144" s="732"/>
      <c r="EJ144" s="732"/>
      <c r="EK144" s="732"/>
      <c r="EL144" s="732"/>
      <c r="EM144" s="732"/>
      <c r="EN144" s="732"/>
      <c r="EO144" s="732"/>
      <c r="EP144" s="732"/>
      <c r="EQ144" s="732"/>
      <c r="ER144" s="732"/>
      <c r="ES144" s="732"/>
      <c r="ET144" s="732"/>
      <c r="EU144" s="732"/>
      <c r="EV144" s="732"/>
      <c r="EW144" s="732"/>
      <c r="EX144" s="732"/>
      <c r="EY144" s="732"/>
      <c r="EZ144" s="732"/>
      <c r="FA144" s="732"/>
      <c r="FB144" s="732"/>
      <c r="FC144" s="732"/>
      <c r="FD144" s="732"/>
      <c r="FE144" s="732"/>
      <c r="FF144" s="732"/>
      <c r="FG144" s="732"/>
      <c r="FH144" s="732"/>
      <c r="FI144" s="732"/>
      <c r="FJ144" s="732"/>
      <c r="FK144" s="732"/>
      <c r="FL144" s="732"/>
      <c r="FM144" s="732"/>
      <c r="FN144" s="732"/>
      <c r="FO144" s="732"/>
      <c r="FP144" s="732"/>
      <c r="FQ144" s="732"/>
      <c r="FR144" s="732"/>
      <c r="FS144" s="732"/>
      <c r="FT144" s="732"/>
      <c r="FU144" s="732"/>
      <c r="FV144" s="732"/>
      <c r="FW144" s="732"/>
      <c r="FX144" s="732"/>
      <c r="FY144" s="732"/>
      <c r="FZ144" s="732"/>
      <c r="GA144" s="732"/>
      <c r="GB144" s="732"/>
      <c r="GC144" s="732"/>
      <c r="GD144" s="732"/>
      <c r="GE144" s="732"/>
      <c r="GF144" s="732"/>
      <c r="GG144" s="732"/>
      <c r="GH144" s="732"/>
      <c r="GI144" s="732"/>
      <c r="GJ144" s="732"/>
      <c r="GK144" s="732"/>
      <c r="GL144" s="732"/>
      <c r="GM144" s="732"/>
      <c r="GN144" s="732"/>
      <c r="GO144" s="732"/>
      <c r="GP144" s="732"/>
      <c r="GQ144" s="732"/>
      <c r="GR144" s="732"/>
      <c r="GS144" s="732"/>
      <c r="GT144" s="732"/>
      <c r="GU144" s="732"/>
      <c r="GV144" s="732"/>
      <c r="GW144" s="732"/>
      <c r="GX144" s="732"/>
      <c r="GY144" s="732"/>
      <c r="GZ144" s="732"/>
      <c r="HA144" s="732"/>
      <c r="HB144" s="732"/>
      <c r="HC144" s="732"/>
      <c r="HD144" s="732"/>
      <c r="HE144" s="732"/>
      <c r="HF144" s="732"/>
      <c r="HG144" s="732"/>
      <c r="HH144" s="732"/>
      <c r="HI144" s="732"/>
      <c r="HJ144" s="732"/>
      <c r="HK144" s="732"/>
      <c r="HL144" s="732"/>
      <c r="HM144" s="732"/>
      <c r="HN144" s="732"/>
      <c r="HO144" s="732"/>
      <c r="HP144" s="732"/>
      <c r="HQ144" s="732"/>
      <c r="HR144" s="732"/>
      <c r="HS144" s="732"/>
      <c r="HT144" s="732"/>
      <c r="HU144" s="732"/>
      <c r="HV144" s="732"/>
      <c r="HW144" s="732"/>
      <c r="HX144" s="732"/>
      <c r="HY144" s="732"/>
      <c r="HZ144" s="732"/>
      <c r="IA144" s="732"/>
      <c r="IB144" s="732"/>
      <c r="IC144" s="732"/>
      <c r="ID144" s="732"/>
      <c r="IE144" s="732"/>
      <c r="IF144" s="732"/>
      <c r="IG144" s="732"/>
      <c r="IH144" s="732"/>
      <c r="II144" s="732"/>
      <c r="IJ144" s="732"/>
      <c r="IK144" s="732"/>
      <c r="IL144" s="732"/>
      <c r="IM144" s="732"/>
      <c r="IN144" s="732"/>
      <c r="IO144" s="732"/>
      <c r="IP144" s="732"/>
      <c r="IQ144" s="732"/>
      <c r="IR144" s="732"/>
      <c r="IS144" s="732"/>
    </row>
    <row r="145" s="563" customFormat="1" ht="15" spans="1:253">
      <c r="A145" s="647"/>
      <c r="B145" s="641">
        <v>5</v>
      </c>
      <c r="C145" s="646" t="s">
        <v>231</v>
      </c>
      <c r="D145" s="647"/>
      <c r="E145" s="674"/>
      <c r="F145" s="674"/>
      <c r="G145" s="649">
        <f>SUM(G146:G159)</f>
        <v>41246.34</v>
      </c>
      <c r="H145" s="711"/>
      <c r="I145" s="278"/>
      <c r="J145" s="711"/>
      <c r="K145" s="711"/>
      <c r="L145" s="711"/>
      <c r="M145" s="695">
        <f t="shared" si="22"/>
        <v>997182.95</v>
      </c>
      <c r="N145" s="729"/>
      <c r="O145" s="729"/>
      <c r="P145" s="729"/>
      <c r="Q145" s="729"/>
      <c r="R145" s="729"/>
      <c r="S145" s="729"/>
      <c r="T145" s="729"/>
      <c r="U145" s="729"/>
      <c r="V145" s="729"/>
      <c r="W145" s="729"/>
      <c r="X145" s="729"/>
      <c r="Y145" s="729"/>
      <c r="Z145" s="729"/>
      <c r="AA145" s="729"/>
      <c r="AB145" s="729"/>
      <c r="AC145" s="729"/>
      <c r="AD145" s="729"/>
      <c r="AE145" s="729"/>
      <c r="AF145" s="729"/>
      <c r="AG145" s="729"/>
      <c r="AH145" s="729"/>
      <c r="AI145" s="729"/>
      <c r="AJ145" s="729"/>
      <c r="AK145" s="729"/>
      <c r="AL145" s="729"/>
      <c r="AM145" s="729"/>
      <c r="AN145" s="729"/>
      <c r="AO145" s="729"/>
      <c r="AP145" s="729"/>
      <c r="AQ145" s="729"/>
      <c r="AR145" s="729"/>
      <c r="AS145" s="729"/>
      <c r="AT145" s="729"/>
      <c r="AU145" s="729"/>
      <c r="AV145" s="729"/>
      <c r="AW145" s="729"/>
      <c r="AX145" s="729"/>
      <c r="AY145" s="729"/>
      <c r="AZ145" s="729"/>
      <c r="BA145" s="729"/>
      <c r="BB145" s="729"/>
      <c r="BC145" s="729"/>
      <c r="BD145" s="729"/>
      <c r="BE145" s="729"/>
      <c r="BF145" s="729"/>
      <c r="BG145" s="729"/>
      <c r="BH145" s="729"/>
      <c r="BI145" s="729"/>
      <c r="BJ145" s="729"/>
      <c r="BK145" s="729"/>
      <c r="BL145" s="729"/>
      <c r="BM145" s="729"/>
      <c r="BN145" s="729"/>
      <c r="BO145" s="729"/>
      <c r="BP145" s="729"/>
      <c r="BQ145" s="729"/>
      <c r="BR145" s="729"/>
      <c r="BS145" s="729"/>
      <c r="BT145" s="729"/>
      <c r="BU145" s="729"/>
      <c r="BV145" s="729"/>
      <c r="BW145" s="732"/>
      <c r="BX145" s="732"/>
      <c r="BY145" s="732"/>
      <c r="BZ145" s="732"/>
      <c r="CA145" s="732"/>
      <c r="CB145" s="732"/>
      <c r="CC145" s="732"/>
      <c r="CD145" s="732"/>
      <c r="CE145" s="732"/>
      <c r="CF145" s="732"/>
      <c r="CG145" s="732"/>
      <c r="CH145" s="732"/>
      <c r="CI145" s="732"/>
      <c r="CJ145" s="732"/>
      <c r="CK145" s="732"/>
      <c r="CL145" s="732"/>
      <c r="CM145" s="732"/>
      <c r="CN145" s="732"/>
      <c r="CO145" s="732"/>
      <c r="CP145" s="732"/>
      <c r="CQ145" s="732"/>
      <c r="CR145" s="732"/>
      <c r="CS145" s="732"/>
      <c r="CT145" s="732"/>
      <c r="CU145" s="732"/>
      <c r="CV145" s="732"/>
      <c r="CW145" s="732"/>
      <c r="CX145" s="732"/>
      <c r="CY145" s="732"/>
      <c r="CZ145" s="732"/>
      <c r="DA145" s="732"/>
      <c r="DB145" s="732"/>
      <c r="DC145" s="732"/>
      <c r="DD145" s="732"/>
      <c r="DE145" s="732"/>
      <c r="DF145" s="732"/>
      <c r="DG145" s="732"/>
      <c r="DH145" s="732"/>
      <c r="DI145" s="732"/>
      <c r="DJ145" s="732"/>
      <c r="DK145" s="732"/>
      <c r="DL145" s="732"/>
      <c r="DM145" s="732"/>
      <c r="DN145" s="732"/>
      <c r="DO145" s="732"/>
      <c r="DP145" s="732"/>
      <c r="DQ145" s="732"/>
      <c r="DR145" s="732"/>
      <c r="DS145" s="732"/>
      <c r="DT145" s="732"/>
      <c r="DU145" s="732"/>
      <c r="DV145" s="732"/>
      <c r="DW145" s="732"/>
      <c r="DX145" s="732"/>
      <c r="DY145" s="732"/>
      <c r="DZ145" s="732"/>
      <c r="EA145" s="732"/>
      <c r="EB145" s="732"/>
      <c r="EC145" s="732"/>
      <c r="ED145" s="732"/>
      <c r="EE145" s="732"/>
      <c r="EF145" s="732"/>
      <c r="EG145" s="732"/>
      <c r="EH145" s="732"/>
      <c r="EI145" s="732"/>
      <c r="EJ145" s="732"/>
      <c r="EK145" s="732"/>
      <c r="EL145" s="732"/>
      <c r="EM145" s="732"/>
      <c r="EN145" s="732"/>
      <c r="EO145" s="732"/>
      <c r="EP145" s="732"/>
      <c r="EQ145" s="732"/>
      <c r="ER145" s="732"/>
      <c r="ES145" s="732"/>
      <c r="ET145" s="732"/>
      <c r="EU145" s="732"/>
      <c r="EV145" s="732"/>
      <c r="EW145" s="732"/>
      <c r="EX145" s="732"/>
      <c r="EY145" s="732"/>
      <c r="EZ145" s="732"/>
      <c r="FA145" s="732"/>
      <c r="FB145" s="732"/>
      <c r="FC145" s="732"/>
      <c r="FD145" s="732"/>
      <c r="FE145" s="732"/>
      <c r="FF145" s="732"/>
      <c r="FG145" s="732"/>
      <c r="FH145" s="732"/>
      <c r="FI145" s="732"/>
      <c r="FJ145" s="732"/>
      <c r="FK145" s="732"/>
      <c r="FL145" s="732"/>
      <c r="FM145" s="732"/>
      <c r="FN145" s="732"/>
      <c r="FO145" s="732"/>
      <c r="FP145" s="732"/>
      <c r="FQ145" s="732"/>
      <c r="FR145" s="732"/>
      <c r="FS145" s="732"/>
      <c r="FT145" s="732"/>
      <c r="FU145" s="732"/>
      <c r="FV145" s="732"/>
      <c r="FW145" s="732"/>
      <c r="FX145" s="732"/>
      <c r="FY145" s="732"/>
      <c r="FZ145" s="732"/>
      <c r="GA145" s="732"/>
      <c r="GB145" s="732"/>
      <c r="GC145" s="732"/>
      <c r="GD145" s="732"/>
      <c r="GE145" s="732"/>
      <c r="GF145" s="732"/>
      <c r="GG145" s="732"/>
      <c r="GH145" s="732"/>
      <c r="GI145" s="732"/>
      <c r="GJ145" s="732"/>
      <c r="GK145" s="732"/>
      <c r="GL145" s="732"/>
      <c r="GM145" s="732"/>
      <c r="GN145" s="732"/>
      <c r="GO145" s="732"/>
      <c r="GP145" s="732"/>
      <c r="GQ145" s="732"/>
      <c r="GR145" s="732"/>
      <c r="GS145" s="732"/>
      <c r="GT145" s="732"/>
      <c r="GU145" s="732"/>
      <c r="GV145" s="732"/>
      <c r="GW145" s="732"/>
      <c r="GX145" s="732"/>
      <c r="GY145" s="732"/>
      <c r="GZ145" s="732"/>
      <c r="HA145" s="732"/>
      <c r="HB145" s="732"/>
      <c r="HC145" s="732"/>
      <c r="HD145" s="732"/>
      <c r="HE145" s="732"/>
      <c r="HF145" s="732"/>
      <c r="HG145" s="732"/>
      <c r="HH145" s="732"/>
      <c r="HI145" s="732"/>
      <c r="HJ145" s="732"/>
      <c r="HK145" s="732"/>
      <c r="HL145" s="732"/>
      <c r="HM145" s="732"/>
      <c r="HN145" s="732"/>
      <c r="HO145" s="732"/>
      <c r="HP145" s="732"/>
      <c r="HQ145" s="732"/>
      <c r="HR145" s="732"/>
      <c r="HS145" s="732"/>
      <c r="HT145" s="732"/>
      <c r="HU145" s="732"/>
      <c r="HV145" s="732"/>
      <c r="HW145" s="732"/>
      <c r="HX145" s="732"/>
      <c r="HY145" s="732"/>
      <c r="HZ145" s="732"/>
      <c r="IA145" s="732"/>
      <c r="IB145" s="732"/>
      <c r="IC145" s="732"/>
      <c r="ID145" s="732"/>
      <c r="IE145" s="732"/>
      <c r="IF145" s="732"/>
      <c r="IG145" s="732"/>
      <c r="IH145" s="732"/>
      <c r="II145" s="732"/>
      <c r="IJ145" s="732"/>
      <c r="IK145" s="732"/>
      <c r="IL145" s="732"/>
      <c r="IM145" s="732"/>
      <c r="IN145" s="732"/>
      <c r="IO145" s="732"/>
      <c r="IP145" s="732"/>
      <c r="IQ145" s="732"/>
      <c r="IR145" s="732"/>
      <c r="IS145" s="732"/>
    </row>
    <row r="146" s="563" customFormat="1" ht="15" spans="1:253">
      <c r="A146" s="719" t="s">
        <v>232</v>
      </c>
      <c r="B146" s="657" t="s">
        <v>233</v>
      </c>
      <c r="C146" s="698" t="s">
        <v>234</v>
      </c>
      <c r="D146" s="716" t="s">
        <v>23</v>
      </c>
      <c r="E146" s="720">
        <f>'PB VI - Memorial'!G140</f>
        <v>9.17</v>
      </c>
      <c r="F146" s="694">
        <v>14.16</v>
      </c>
      <c r="G146" s="694">
        <v>129.85</v>
      </c>
      <c r="H146" s="711"/>
      <c r="I146" s="711"/>
      <c r="J146" s="711"/>
      <c r="K146" s="711"/>
      <c r="L146" s="711"/>
      <c r="M146" s="695">
        <f t="shared" si="22"/>
        <v>997182.95</v>
      </c>
      <c r="N146" s="729"/>
      <c r="O146" s="729"/>
      <c r="P146" s="729"/>
      <c r="Q146" s="729"/>
      <c r="R146" s="729"/>
      <c r="S146" s="729"/>
      <c r="T146" s="729"/>
      <c r="U146" s="729"/>
      <c r="V146" s="729"/>
      <c r="W146" s="729"/>
      <c r="X146" s="729"/>
      <c r="Y146" s="729"/>
      <c r="Z146" s="729"/>
      <c r="AA146" s="729"/>
      <c r="AB146" s="729"/>
      <c r="AC146" s="729"/>
      <c r="AD146" s="729"/>
      <c r="AE146" s="729"/>
      <c r="AF146" s="729"/>
      <c r="AG146" s="729"/>
      <c r="AH146" s="729"/>
      <c r="AI146" s="729"/>
      <c r="AJ146" s="729"/>
      <c r="AK146" s="729"/>
      <c r="AL146" s="729"/>
      <c r="AM146" s="729"/>
      <c r="AN146" s="729"/>
      <c r="AO146" s="729"/>
      <c r="AP146" s="729"/>
      <c r="AQ146" s="729"/>
      <c r="AR146" s="729"/>
      <c r="AS146" s="729"/>
      <c r="AT146" s="729"/>
      <c r="AU146" s="729"/>
      <c r="AV146" s="729"/>
      <c r="AW146" s="729"/>
      <c r="AX146" s="729"/>
      <c r="AY146" s="729"/>
      <c r="AZ146" s="729"/>
      <c r="BA146" s="729"/>
      <c r="BB146" s="729"/>
      <c r="BC146" s="729"/>
      <c r="BD146" s="729"/>
      <c r="BE146" s="729"/>
      <c r="BF146" s="729"/>
      <c r="BG146" s="729"/>
      <c r="BH146" s="729"/>
      <c r="BI146" s="729"/>
      <c r="BJ146" s="729"/>
      <c r="BK146" s="729"/>
      <c r="BL146" s="729"/>
      <c r="BM146" s="729"/>
      <c r="BN146" s="729"/>
      <c r="BO146" s="729"/>
      <c r="BP146" s="729"/>
      <c r="BQ146" s="729"/>
      <c r="BR146" s="729"/>
      <c r="BS146" s="729"/>
      <c r="BT146" s="729"/>
      <c r="BU146" s="729"/>
      <c r="BV146" s="729"/>
      <c r="BW146" s="732"/>
      <c r="BX146" s="732"/>
      <c r="BY146" s="732"/>
      <c r="BZ146" s="732"/>
      <c r="CA146" s="732"/>
      <c r="CB146" s="732"/>
      <c r="CC146" s="732"/>
      <c r="CD146" s="732"/>
      <c r="CE146" s="732"/>
      <c r="CF146" s="732"/>
      <c r="CG146" s="732"/>
      <c r="CH146" s="732"/>
      <c r="CI146" s="732"/>
      <c r="CJ146" s="732"/>
      <c r="CK146" s="732"/>
      <c r="CL146" s="732"/>
      <c r="CM146" s="732"/>
      <c r="CN146" s="732"/>
      <c r="CO146" s="732"/>
      <c r="CP146" s="732"/>
      <c r="CQ146" s="732"/>
      <c r="CR146" s="732"/>
      <c r="CS146" s="732"/>
      <c r="CT146" s="732"/>
      <c r="CU146" s="732"/>
      <c r="CV146" s="732"/>
      <c r="CW146" s="732"/>
      <c r="CX146" s="732"/>
      <c r="CY146" s="732"/>
      <c r="CZ146" s="732"/>
      <c r="DA146" s="732"/>
      <c r="DB146" s="732"/>
      <c r="DC146" s="732"/>
      <c r="DD146" s="732"/>
      <c r="DE146" s="732"/>
      <c r="DF146" s="732"/>
      <c r="DG146" s="732"/>
      <c r="DH146" s="732"/>
      <c r="DI146" s="732"/>
      <c r="DJ146" s="732"/>
      <c r="DK146" s="732"/>
      <c r="DL146" s="732"/>
      <c r="DM146" s="732"/>
      <c r="DN146" s="732"/>
      <c r="DO146" s="732"/>
      <c r="DP146" s="732"/>
      <c r="DQ146" s="732"/>
      <c r="DR146" s="732"/>
      <c r="DS146" s="732"/>
      <c r="DT146" s="732"/>
      <c r="DU146" s="732"/>
      <c r="DV146" s="732"/>
      <c r="DW146" s="732"/>
      <c r="DX146" s="732"/>
      <c r="DY146" s="732"/>
      <c r="DZ146" s="732"/>
      <c r="EA146" s="732"/>
      <c r="EB146" s="732"/>
      <c r="EC146" s="732"/>
      <c r="ED146" s="732"/>
      <c r="EE146" s="732"/>
      <c r="EF146" s="732"/>
      <c r="EG146" s="732"/>
      <c r="EH146" s="732"/>
      <c r="EI146" s="732"/>
      <c r="EJ146" s="732"/>
      <c r="EK146" s="732"/>
      <c r="EL146" s="732"/>
      <c r="EM146" s="732"/>
      <c r="EN146" s="732"/>
      <c r="EO146" s="732"/>
      <c r="EP146" s="732"/>
      <c r="EQ146" s="732"/>
      <c r="ER146" s="732"/>
      <c r="ES146" s="732"/>
      <c r="ET146" s="732"/>
      <c r="EU146" s="732"/>
      <c r="EV146" s="732"/>
      <c r="EW146" s="732"/>
      <c r="EX146" s="732"/>
      <c r="EY146" s="732"/>
      <c r="EZ146" s="732"/>
      <c r="FA146" s="732"/>
      <c r="FB146" s="732"/>
      <c r="FC146" s="732"/>
      <c r="FD146" s="732"/>
      <c r="FE146" s="732"/>
      <c r="FF146" s="732"/>
      <c r="FG146" s="732"/>
      <c r="FH146" s="732"/>
      <c r="FI146" s="732"/>
      <c r="FJ146" s="732"/>
      <c r="FK146" s="732"/>
      <c r="FL146" s="732"/>
      <c r="FM146" s="732"/>
      <c r="FN146" s="732"/>
      <c r="FO146" s="732"/>
      <c r="FP146" s="732"/>
      <c r="FQ146" s="732"/>
      <c r="FR146" s="732"/>
      <c r="FS146" s="732"/>
      <c r="FT146" s="732"/>
      <c r="FU146" s="732"/>
      <c r="FV146" s="732"/>
      <c r="FW146" s="732"/>
      <c r="FX146" s="732"/>
      <c r="FY146" s="732"/>
      <c r="FZ146" s="732"/>
      <c r="GA146" s="732"/>
      <c r="GB146" s="732"/>
      <c r="GC146" s="732"/>
      <c r="GD146" s="732"/>
      <c r="GE146" s="732"/>
      <c r="GF146" s="732"/>
      <c r="GG146" s="732"/>
      <c r="GH146" s="732"/>
      <c r="GI146" s="732"/>
      <c r="GJ146" s="732"/>
      <c r="GK146" s="732"/>
      <c r="GL146" s="732"/>
      <c r="GM146" s="732"/>
      <c r="GN146" s="732"/>
      <c r="GO146" s="732"/>
      <c r="GP146" s="732"/>
      <c r="GQ146" s="732"/>
      <c r="GR146" s="732"/>
      <c r="GS146" s="732"/>
      <c r="GT146" s="732"/>
      <c r="GU146" s="732"/>
      <c r="GV146" s="732"/>
      <c r="GW146" s="732"/>
      <c r="GX146" s="732"/>
      <c r="GY146" s="732"/>
      <c r="GZ146" s="732"/>
      <c r="HA146" s="732"/>
      <c r="HB146" s="732"/>
      <c r="HC146" s="732"/>
      <c r="HD146" s="732"/>
      <c r="HE146" s="732"/>
      <c r="HF146" s="732"/>
      <c r="HG146" s="732"/>
      <c r="HH146" s="732"/>
      <c r="HI146" s="732"/>
      <c r="HJ146" s="732"/>
      <c r="HK146" s="732"/>
      <c r="HL146" s="732"/>
      <c r="HM146" s="732"/>
      <c r="HN146" s="732"/>
      <c r="HO146" s="732"/>
      <c r="HP146" s="732"/>
      <c r="HQ146" s="732"/>
      <c r="HR146" s="732"/>
      <c r="HS146" s="732"/>
      <c r="HT146" s="732"/>
      <c r="HU146" s="732"/>
      <c r="HV146" s="732"/>
      <c r="HW146" s="732"/>
      <c r="HX146" s="732"/>
      <c r="HY146" s="732"/>
      <c r="HZ146" s="732"/>
      <c r="IA146" s="732"/>
      <c r="IB146" s="732"/>
      <c r="IC146" s="732"/>
      <c r="ID146" s="732"/>
      <c r="IE146" s="732"/>
      <c r="IF146" s="732"/>
      <c r="IG146" s="732"/>
      <c r="IH146" s="732"/>
      <c r="II146" s="732"/>
      <c r="IJ146" s="732"/>
      <c r="IK146" s="732"/>
      <c r="IL146" s="732"/>
      <c r="IM146" s="732"/>
      <c r="IN146" s="732"/>
      <c r="IO146" s="732"/>
      <c r="IP146" s="732"/>
      <c r="IQ146" s="732"/>
      <c r="IR146" s="732"/>
      <c r="IS146" s="732"/>
    </row>
    <row r="147" s="563" customFormat="1" ht="22.5" spans="1:253">
      <c r="A147" s="697" t="str">
        <f>'PB VIII - Composições Auxilia'!A20</f>
        <v>COMP. 03 - DPE</v>
      </c>
      <c r="B147" s="657" t="s">
        <v>235</v>
      </c>
      <c r="C147" s="698" t="s">
        <v>236</v>
      </c>
      <c r="D147" s="716" t="s">
        <v>23</v>
      </c>
      <c r="E147" s="720">
        <f>E146</f>
        <v>9.17</v>
      </c>
      <c r="F147" s="694">
        <f>'PB VIII - Composições Auxilia'!F23</f>
        <v>22.46</v>
      </c>
      <c r="G147" s="694">
        <v>205.96</v>
      </c>
      <c r="H147" s="711"/>
      <c r="I147" s="711"/>
      <c r="J147" s="711"/>
      <c r="K147" s="711"/>
      <c r="L147" s="711"/>
      <c r="M147" s="695">
        <f t="shared" si="22"/>
        <v>997182.95</v>
      </c>
      <c r="N147" s="729"/>
      <c r="O147" s="729"/>
      <c r="P147" s="729"/>
      <c r="Q147" s="729"/>
      <c r="R147" s="729"/>
      <c r="S147" s="729"/>
      <c r="T147" s="729"/>
      <c r="U147" s="729"/>
      <c r="V147" s="729"/>
      <c r="W147" s="729"/>
      <c r="X147" s="729"/>
      <c r="Y147" s="729"/>
      <c r="Z147" s="729"/>
      <c r="AA147" s="729"/>
      <c r="AB147" s="729"/>
      <c r="AC147" s="729"/>
      <c r="AD147" s="729"/>
      <c r="AE147" s="729"/>
      <c r="AF147" s="729"/>
      <c r="AG147" s="729"/>
      <c r="AH147" s="729"/>
      <c r="AI147" s="729"/>
      <c r="AJ147" s="729"/>
      <c r="AK147" s="729"/>
      <c r="AL147" s="729"/>
      <c r="AM147" s="729"/>
      <c r="AN147" s="729"/>
      <c r="AO147" s="729"/>
      <c r="AP147" s="729"/>
      <c r="AQ147" s="729"/>
      <c r="AR147" s="729"/>
      <c r="AS147" s="729"/>
      <c r="AT147" s="729"/>
      <c r="AU147" s="729"/>
      <c r="AV147" s="729"/>
      <c r="AW147" s="729"/>
      <c r="AX147" s="729"/>
      <c r="AY147" s="729"/>
      <c r="AZ147" s="729"/>
      <c r="BA147" s="729"/>
      <c r="BB147" s="729"/>
      <c r="BC147" s="729"/>
      <c r="BD147" s="729"/>
      <c r="BE147" s="729"/>
      <c r="BF147" s="729"/>
      <c r="BG147" s="729"/>
      <c r="BH147" s="729"/>
      <c r="BI147" s="729"/>
      <c r="BJ147" s="729"/>
      <c r="BK147" s="729"/>
      <c r="BL147" s="729"/>
      <c r="BM147" s="729"/>
      <c r="BN147" s="729"/>
      <c r="BO147" s="729"/>
      <c r="BP147" s="729"/>
      <c r="BQ147" s="729"/>
      <c r="BR147" s="729"/>
      <c r="BS147" s="729"/>
      <c r="BT147" s="729"/>
      <c r="BU147" s="729"/>
      <c r="BV147" s="729"/>
      <c r="BW147" s="732"/>
      <c r="BX147" s="732"/>
      <c r="BY147" s="732"/>
      <c r="BZ147" s="732"/>
      <c r="CA147" s="732"/>
      <c r="CB147" s="732"/>
      <c r="CC147" s="732"/>
      <c r="CD147" s="732"/>
      <c r="CE147" s="732"/>
      <c r="CF147" s="732"/>
      <c r="CG147" s="732"/>
      <c r="CH147" s="732"/>
      <c r="CI147" s="732"/>
      <c r="CJ147" s="732"/>
      <c r="CK147" s="732"/>
      <c r="CL147" s="732"/>
      <c r="CM147" s="732"/>
      <c r="CN147" s="732"/>
      <c r="CO147" s="732"/>
      <c r="CP147" s="732"/>
      <c r="CQ147" s="732"/>
      <c r="CR147" s="732"/>
      <c r="CS147" s="732"/>
      <c r="CT147" s="732"/>
      <c r="CU147" s="732"/>
      <c r="CV147" s="732"/>
      <c r="CW147" s="732"/>
      <c r="CX147" s="732"/>
      <c r="CY147" s="732"/>
      <c r="CZ147" s="732"/>
      <c r="DA147" s="732"/>
      <c r="DB147" s="732"/>
      <c r="DC147" s="732"/>
      <c r="DD147" s="732"/>
      <c r="DE147" s="732"/>
      <c r="DF147" s="732"/>
      <c r="DG147" s="732"/>
      <c r="DH147" s="732"/>
      <c r="DI147" s="732"/>
      <c r="DJ147" s="732"/>
      <c r="DK147" s="732"/>
      <c r="DL147" s="732"/>
      <c r="DM147" s="732"/>
      <c r="DN147" s="732"/>
      <c r="DO147" s="732"/>
      <c r="DP147" s="732"/>
      <c r="DQ147" s="732"/>
      <c r="DR147" s="732"/>
      <c r="DS147" s="732"/>
      <c r="DT147" s="732"/>
      <c r="DU147" s="732"/>
      <c r="DV147" s="732"/>
      <c r="DW147" s="732"/>
      <c r="DX147" s="732"/>
      <c r="DY147" s="732"/>
      <c r="DZ147" s="732"/>
      <c r="EA147" s="732"/>
      <c r="EB147" s="732"/>
      <c r="EC147" s="732"/>
      <c r="ED147" s="732"/>
      <c r="EE147" s="732"/>
      <c r="EF147" s="732"/>
      <c r="EG147" s="732"/>
      <c r="EH147" s="732"/>
      <c r="EI147" s="732"/>
      <c r="EJ147" s="732"/>
      <c r="EK147" s="732"/>
      <c r="EL147" s="732"/>
      <c r="EM147" s="732"/>
      <c r="EN147" s="732"/>
      <c r="EO147" s="732"/>
      <c r="EP147" s="732"/>
      <c r="EQ147" s="732"/>
      <c r="ER147" s="732"/>
      <c r="ES147" s="732"/>
      <c r="ET147" s="732"/>
      <c r="EU147" s="732"/>
      <c r="EV147" s="732"/>
      <c r="EW147" s="732"/>
      <c r="EX147" s="732"/>
      <c r="EY147" s="732"/>
      <c r="EZ147" s="732"/>
      <c r="FA147" s="732"/>
      <c r="FB147" s="732"/>
      <c r="FC147" s="732"/>
      <c r="FD147" s="732"/>
      <c r="FE147" s="732"/>
      <c r="FF147" s="732"/>
      <c r="FG147" s="732"/>
      <c r="FH147" s="732"/>
      <c r="FI147" s="732"/>
      <c r="FJ147" s="732"/>
      <c r="FK147" s="732"/>
      <c r="FL147" s="732"/>
      <c r="FM147" s="732"/>
      <c r="FN147" s="732"/>
      <c r="FO147" s="732"/>
      <c r="FP147" s="732"/>
      <c r="FQ147" s="732"/>
      <c r="FR147" s="732"/>
      <c r="FS147" s="732"/>
      <c r="FT147" s="732"/>
      <c r="FU147" s="732"/>
      <c r="FV147" s="732"/>
      <c r="FW147" s="732"/>
      <c r="FX147" s="732"/>
      <c r="FY147" s="732"/>
      <c r="FZ147" s="732"/>
      <c r="GA147" s="732"/>
      <c r="GB147" s="732"/>
      <c r="GC147" s="732"/>
      <c r="GD147" s="732"/>
      <c r="GE147" s="732"/>
      <c r="GF147" s="732"/>
      <c r="GG147" s="732"/>
      <c r="GH147" s="732"/>
      <c r="GI147" s="732"/>
      <c r="GJ147" s="732"/>
      <c r="GK147" s="732"/>
      <c r="GL147" s="732"/>
      <c r="GM147" s="732"/>
      <c r="GN147" s="732"/>
      <c r="GO147" s="732"/>
      <c r="GP147" s="732"/>
      <c r="GQ147" s="732"/>
      <c r="GR147" s="732"/>
      <c r="GS147" s="732"/>
      <c r="GT147" s="732"/>
      <c r="GU147" s="732"/>
      <c r="GV147" s="732"/>
      <c r="GW147" s="732"/>
      <c r="GX147" s="732"/>
      <c r="GY147" s="732"/>
      <c r="GZ147" s="732"/>
      <c r="HA147" s="732"/>
      <c r="HB147" s="732"/>
      <c r="HC147" s="732"/>
      <c r="HD147" s="732"/>
      <c r="HE147" s="732"/>
      <c r="HF147" s="732"/>
      <c r="HG147" s="732"/>
      <c r="HH147" s="732"/>
      <c r="HI147" s="732"/>
      <c r="HJ147" s="732"/>
      <c r="HK147" s="732"/>
      <c r="HL147" s="732"/>
      <c r="HM147" s="732"/>
      <c r="HN147" s="732"/>
      <c r="HO147" s="732"/>
      <c r="HP147" s="732"/>
      <c r="HQ147" s="732"/>
      <c r="HR147" s="732"/>
      <c r="HS147" s="732"/>
      <c r="HT147" s="732"/>
      <c r="HU147" s="732"/>
      <c r="HV147" s="732"/>
      <c r="HW147" s="732"/>
      <c r="HX147" s="732"/>
      <c r="HY147" s="732"/>
      <c r="HZ147" s="732"/>
      <c r="IA147" s="732"/>
      <c r="IB147" s="732"/>
      <c r="IC147" s="732"/>
      <c r="ID147" s="732"/>
      <c r="IE147" s="732"/>
      <c r="IF147" s="732"/>
      <c r="IG147" s="732"/>
      <c r="IH147" s="732"/>
      <c r="II147" s="732"/>
      <c r="IJ147" s="732"/>
      <c r="IK147" s="732"/>
      <c r="IL147" s="732"/>
      <c r="IM147" s="732"/>
      <c r="IN147" s="732"/>
      <c r="IO147" s="732"/>
      <c r="IP147" s="732"/>
      <c r="IQ147" s="732"/>
      <c r="IR147" s="732"/>
      <c r="IS147" s="732"/>
    </row>
    <row r="148" s="563" customFormat="1" ht="43.5" spans="1:253">
      <c r="A148" s="719" t="s">
        <v>237</v>
      </c>
      <c r="B148" s="657" t="s">
        <v>238</v>
      </c>
      <c r="C148" s="698" t="s">
        <v>239</v>
      </c>
      <c r="D148" s="716" t="s">
        <v>23</v>
      </c>
      <c r="E148" s="733">
        <f>'PB VI - Memorial'!G163</f>
        <v>18.34</v>
      </c>
      <c r="F148" s="694">
        <v>522.23</v>
      </c>
      <c r="G148" s="694">
        <v>9577.7</v>
      </c>
      <c r="H148" s="711"/>
      <c r="I148" s="711"/>
      <c r="J148" s="711"/>
      <c r="K148" s="711"/>
      <c r="L148" s="711"/>
      <c r="M148" s="695">
        <f t="shared" si="22"/>
        <v>997182.95</v>
      </c>
      <c r="N148" s="729"/>
      <c r="O148" s="729"/>
      <c r="P148" s="729"/>
      <c r="Q148" s="729"/>
      <c r="R148" s="729"/>
      <c r="S148" s="729"/>
      <c r="T148" s="729"/>
      <c r="U148" s="729"/>
      <c r="V148" s="729"/>
      <c r="W148" s="729"/>
      <c r="X148" s="729"/>
      <c r="Y148" s="729"/>
      <c r="Z148" s="729"/>
      <c r="AA148" s="729"/>
      <c r="AB148" s="729"/>
      <c r="AC148" s="729"/>
      <c r="AD148" s="729"/>
      <c r="AE148" s="729"/>
      <c r="AF148" s="729"/>
      <c r="AG148" s="729"/>
      <c r="AH148" s="729"/>
      <c r="AI148" s="729"/>
      <c r="AJ148" s="729"/>
      <c r="AK148" s="729"/>
      <c r="AL148" s="729"/>
      <c r="AM148" s="729"/>
      <c r="AN148" s="729"/>
      <c r="AO148" s="729"/>
      <c r="AP148" s="729"/>
      <c r="AQ148" s="729"/>
      <c r="AR148" s="729"/>
      <c r="AS148" s="729"/>
      <c r="AT148" s="729"/>
      <c r="AU148" s="729"/>
      <c r="AV148" s="729"/>
      <c r="AW148" s="729"/>
      <c r="AX148" s="729"/>
      <c r="AY148" s="729"/>
      <c r="AZ148" s="729"/>
      <c r="BA148" s="729"/>
      <c r="BB148" s="729"/>
      <c r="BC148" s="729"/>
      <c r="BD148" s="729"/>
      <c r="BE148" s="729"/>
      <c r="BF148" s="729"/>
      <c r="BG148" s="729"/>
      <c r="BH148" s="729"/>
      <c r="BI148" s="729"/>
      <c r="BJ148" s="729"/>
      <c r="BK148" s="729"/>
      <c r="BL148" s="729"/>
      <c r="BM148" s="729"/>
      <c r="BN148" s="729"/>
      <c r="BO148" s="729"/>
      <c r="BP148" s="729"/>
      <c r="BQ148" s="729"/>
      <c r="BR148" s="729"/>
      <c r="BS148" s="729"/>
      <c r="BT148" s="729"/>
      <c r="BU148" s="729"/>
      <c r="BV148" s="729"/>
      <c r="BW148" s="732"/>
      <c r="BX148" s="732"/>
      <c r="BY148" s="732"/>
      <c r="BZ148" s="732"/>
      <c r="CA148" s="732"/>
      <c r="CB148" s="732"/>
      <c r="CC148" s="732"/>
      <c r="CD148" s="732"/>
      <c r="CE148" s="732"/>
      <c r="CF148" s="732"/>
      <c r="CG148" s="732"/>
      <c r="CH148" s="732"/>
      <c r="CI148" s="732"/>
      <c r="CJ148" s="732"/>
      <c r="CK148" s="732"/>
      <c r="CL148" s="732"/>
      <c r="CM148" s="732"/>
      <c r="CN148" s="732"/>
      <c r="CO148" s="732"/>
      <c r="CP148" s="732"/>
      <c r="CQ148" s="732"/>
      <c r="CR148" s="732"/>
      <c r="CS148" s="732"/>
      <c r="CT148" s="732"/>
      <c r="CU148" s="732"/>
      <c r="CV148" s="732"/>
      <c r="CW148" s="732"/>
      <c r="CX148" s="732"/>
      <c r="CY148" s="732"/>
      <c r="CZ148" s="732"/>
      <c r="DA148" s="732"/>
      <c r="DB148" s="732"/>
      <c r="DC148" s="732"/>
      <c r="DD148" s="732"/>
      <c r="DE148" s="732"/>
      <c r="DF148" s="732"/>
      <c r="DG148" s="732"/>
      <c r="DH148" s="732"/>
      <c r="DI148" s="732"/>
      <c r="DJ148" s="732"/>
      <c r="DK148" s="732"/>
      <c r="DL148" s="732"/>
      <c r="DM148" s="732"/>
      <c r="DN148" s="732"/>
      <c r="DO148" s="732"/>
      <c r="DP148" s="732"/>
      <c r="DQ148" s="732"/>
      <c r="DR148" s="732"/>
      <c r="DS148" s="732"/>
      <c r="DT148" s="732"/>
      <c r="DU148" s="732"/>
      <c r="DV148" s="732"/>
      <c r="DW148" s="732"/>
      <c r="DX148" s="732"/>
      <c r="DY148" s="732"/>
      <c r="DZ148" s="732"/>
      <c r="EA148" s="732"/>
      <c r="EB148" s="732"/>
      <c r="EC148" s="732"/>
      <c r="ED148" s="732"/>
      <c r="EE148" s="732"/>
      <c r="EF148" s="732"/>
      <c r="EG148" s="732"/>
      <c r="EH148" s="732"/>
      <c r="EI148" s="732"/>
      <c r="EJ148" s="732"/>
      <c r="EK148" s="732"/>
      <c r="EL148" s="732"/>
      <c r="EM148" s="732"/>
      <c r="EN148" s="732"/>
      <c r="EO148" s="732"/>
      <c r="EP148" s="732"/>
      <c r="EQ148" s="732"/>
      <c r="ER148" s="732"/>
      <c r="ES148" s="732"/>
      <c r="ET148" s="732"/>
      <c r="EU148" s="732"/>
      <c r="EV148" s="732"/>
      <c r="EW148" s="732"/>
      <c r="EX148" s="732"/>
      <c r="EY148" s="732"/>
      <c r="EZ148" s="732"/>
      <c r="FA148" s="732"/>
      <c r="FB148" s="732"/>
      <c r="FC148" s="732"/>
      <c r="FD148" s="732"/>
      <c r="FE148" s="732"/>
      <c r="FF148" s="732"/>
      <c r="FG148" s="732"/>
      <c r="FH148" s="732"/>
      <c r="FI148" s="732"/>
      <c r="FJ148" s="732"/>
      <c r="FK148" s="732"/>
      <c r="FL148" s="732"/>
      <c r="FM148" s="732"/>
      <c r="FN148" s="732"/>
      <c r="FO148" s="732"/>
      <c r="FP148" s="732"/>
      <c r="FQ148" s="732"/>
      <c r="FR148" s="732"/>
      <c r="FS148" s="732"/>
      <c r="FT148" s="732"/>
      <c r="FU148" s="732"/>
      <c r="FV148" s="732"/>
      <c r="FW148" s="732"/>
      <c r="FX148" s="732"/>
      <c r="FY148" s="732"/>
      <c r="FZ148" s="732"/>
      <c r="GA148" s="732"/>
      <c r="GB148" s="732"/>
      <c r="GC148" s="732"/>
      <c r="GD148" s="732"/>
      <c r="GE148" s="732"/>
      <c r="GF148" s="732"/>
      <c r="GG148" s="732"/>
      <c r="GH148" s="732"/>
      <c r="GI148" s="732"/>
      <c r="GJ148" s="732"/>
      <c r="GK148" s="732"/>
      <c r="GL148" s="732"/>
      <c r="GM148" s="732"/>
      <c r="GN148" s="732"/>
      <c r="GO148" s="732"/>
      <c r="GP148" s="732"/>
      <c r="GQ148" s="732"/>
      <c r="GR148" s="732"/>
      <c r="GS148" s="732"/>
      <c r="GT148" s="732"/>
      <c r="GU148" s="732"/>
      <c r="GV148" s="732"/>
      <c r="GW148" s="732"/>
      <c r="GX148" s="732"/>
      <c r="GY148" s="732"/>
      <c r="GZ148" s="732"/>
      <c r="HA148" s="732"/>
      <c r="HB148" s="732"/>
      <c r="HC148" s="732"/>
      <c r="HD148" s="732"/>
      <c r="HE148" s="732"/>
      <c r="HF148" s="732"/>
      <c r="HG148" s="732"/>
      <c r="HH148" s="732"/>
      <c r="HI148" s="732"/>
      <c r="HJ148" s="732"/>
      <c r="HK148" s="732"/>
      <c r="HL148" s="732"/>
      <c r="HM148" s="732"/>
      <c r="HN148" s="732"/>
      <c r="HO148" s="732"/>
      <c r="HP148" s="732"/>
      <c r="HQ148" s="732"/>
      <c r="HR148" s="732"/>
      <c r="HS148" s="732"/>
      <c r="HT148" s="732"/>
      <c r="HU148" s="732"/>
      <c r="HV148" s="732"/>
      <c r="HW148" s="732"/>
      <c r="HX148" s="732"/>
      <c r="HY148" s="732"/>
      <c r="HZ148" s="732"/>
      <c r="IA148" s="732"/>
      <c r="IB148" s="732"/>
      <c r="IC148" s="732"/>
      <c r="ID148" s="732"/>
      <c r="IE148" s="732"/>
      <c r="IF148" s="732"/>
      <c r="IG148" s="732"/>
      <c r="IH148" s="732"/>
      <c r="II148" s="732"/>
      <c r="IJ148" s="732"/>
      <c r="IK148" s="732"/>
      <c r="IL148" s="732"/>
      <c r="IM148" s="732"/>
      <c r="IN148" s="732"/>
      <c r="IO148" s="732"/>
      <c r="IP148" s="732"/>
      <c r="IQ148" s="732"/>
      <c r="IR148" s="732"/>
      <c r="IS148" s="732"/>
    </row>
    <row r="149" s="563" customFormat="1" ht="22.5" spans="1:253">
      <c r="A149" s="719" t="s">
        <v>240</v>
      </c>
      <c r="B149" s="657" t="s">
        <v>241</v>
      </c>
      <c r="C149" s="698" t="s">
        <v>242</v>
      </c>
      <c r="D149" s="716" t="s">
        <v>17</v>
      </c>
      <c r="E149" s="733">
        <f>'PB VI - Memorial'!G161</f>
        <v>229.19</v>
      </c>
      <c r="F149" s="694">
        <v>39.1</v>
      </c>
      <c r="G149" s="694">
        <v>8961.33</v>
      </c>
      <c r="H149" s="711"/>
      <c r="I149" s="711"/>
      <c r="J149" s="711"/>
      <c r="K149" s="711"/>
      <c r="L149" s="711"/>
      <c r="M149" s="695">
        <f t="shared" si="22"/>
        <v>997182.95</v>
      </c>
      <c r="N149" s="729"/>
      <c r="O149" s="729"/>
      <c r="P149" s="729"/>
      <c r="Q149" s="729"/>
      <c r="R149" s="729"/>
      <c r="S149" s="729"/>
      <c r="T149" s="729"/>
      <c r="U149" s="729"/>
      <c r="V149" s="729"/>
      <c r="W149" s="729"/>
      <c r="X149" s="729"/>
      <c r="Y149" s="729"/>
      <c r="Z149" s="729"/>
      <c r="AA149" s="729"/>
      <c r="AB149" s="729"/>
      <c r="AC149" s="729"/>
      <c r="AD149" s="729"/>
      <c r="AE149" s="729"/>
      <c r="AF149" s="729"/>
      <c r="AG149" s="729"/>
      <c r="AH149" s="729"/>
      <c r="AI149" s="729"/>
      <c r="AJ149" s="729"/>
      <c r="AK149" s="729"/>
      <c r="AL149" s="729"/>
      <c r="AM149" s="729"/>
      <c r="AN149" s="729"/>
      <c r="AO149" s="729"/>
      <c r="AP149" s="729"/>
      <c r="AQ149" s="729"/>
      <c r="AR149" s="729"/>
      <c r="AS149" s="729"/>
      <c r="AT149" s="729"/>
      <c r="AU149" s="729"/>
      <c r="AV149" s="729"/>
      <c r="AW149" s="729"/>
      <c r="AX149" s="729"/>
      <c r="AY149" s="729"/>
      <c r="AZ149" s="729"/>
      <c r="BA149" s="729"/>
      <c r="BB149" s="729"/>
      <c r="BC149" s="729"/>
      <c r="BD149" s="729"/>
      <c r="BE149" s="729"/>
      <c r="BF149" s="729"/>
      <c r="BG149" s="729"/>
      <c r="BH149" s="729"/>
      <c r="BI149" s="729"/>
      <c r="BJ149" s="729"/>
      <c r="BK149" s="729"/>
      <c r="BL149" s="729"/>
      <c r="BM149" s="729"/>
      <c r="BN149" s="729"/>
      <c r="BO149" s="729"/>
      <c r="BP149" s="729"/>
      <c r="BQ149" s="729"/>
      <c r="BR149" s="729"/>
      <c r="BS149" s="729"/>
      <c r="BT149" s="729"/>
      <c r="BU149" s="729"/>
      <c r="BV149" s="729"/>
      <c r="BW149" s="732"/>
      <c r="BX149" s="732"/>
      <c r="BY149" s="732"/>
      <c r="BZ149" s="732"/>
      <c r="CA149" s="732"/>
      <c r="CB149" s="732"/>
      <c r="CC149" s="732"/>
      <c r="CD149" s="732"/>
      <c r="CE149" s="732"/>
      <c r="CF149" s="732"/>
      <c r="CG149" s="732"/>
      <c r="CH149" s="732"/>
      <c r="CI149" s="732"/>
      <c r="CJ149" s="732"/>
      <c r="CK149" s="732"/>
      <c r="CL149" s="732"/>
      <c r="CM149" s="732"/>
      <c r="CN149" s="732"/>
      <c r="CO149" s="732"/>
      <c r="CP149" s="732"/>
      <c r="CQ149" s="732"/>
      <c r="CR149" s="732"/>
      <c r="CS149" s="732"/>
      <c r="CT149" s="732"/>
      <c r="CU149" s="732"/>
      <c r="CV149" s="732"/>
      <c r="CW149" s="732"/>
      <c r="CX149" s="732"/>
      <c r="CY149" s="732"/>
      <c r="CZ149" s="732"/>
      <c r="DA149" s="732"/>
      <c r="DB149" s="732"/>
      <c r="DC149" s="732"/>
      <c r="DD149" s="732"/>
      <c r="DE149" s="732"/>
      <c r="DF149" s="732"/>
      <c r="DG149" s="732"/>
      <c r="DH149" s="732"/>
      <c r="DI149" s="732"/>
      <c r="DJ149" s="732"/>
      <c r="DK149" s="732"/>
      <c r="DL149" s="732"/>
      <c r="DM149" s="732"/>
      <c r="DN149" s="732"/>
      <c r="DO149" s="732"/>
      <c r="DP149" s="732"/>
      <c r="DQ149" s="732"/>
      <c r="DR149" s="732"/>
      <c r="DS149" s="732"/>
      <c r="DT149" s="732"/>
      <c r="DU149" s="732"/>
      <c r="DV149" s="732"/>
      <c r="DW149" s="732"/>
      <c r="DX149" s="732"/>
      <c r="DY149" s="732"/>
      <c r="DZ149" s="732"/>
      <c r="EA149" s="732"/>
      <c r="EB149" s="732"/>
      <c r="EC149" s="732"/>
      <c r="ED149" s="732"/>
      <c r="EE149" s="732"/>
      <c r="EF149" s="732"/>
      <c r="EG149" s="732"/>
      <c r="EH149" s="732"/>
      <c r="EI149" s="732"/>
      <c r="EJ149" s="732"/>
      <c r="EK149" s="732"/>
      <c r="EL149" s="732"/>
      <c r="EM149" s="732"/>
      <c r="EN149" s="732"/>
      <c r="EO149" s="732"/>
      <c r="EP149" s="732"/>
      <c r="EQ149" s="732"/>
      <c r="ER149" s="732"/>
      <c r="ES149" s="732"/>
      <c r="ET149" s="732"/>
      <c r="EU149" s="732"/>
      <c r="EV149" s="732"/>
      <c r="EW149" s="732"/>
      <c r="EX149" s="732"/>
      <c r="EY149" s="732"/>
      <c r="EZ149" s="732"/>
      <c r="FA149" s="732"/>
      <c r="FB149" s="732"/>
      <c r="FC149" s="732"/>
      <c r="FD149" s="732"/>
      <c r="FE149" s="732"/>
      <c r="FF149" s="732"/>
      <c r="FG149" s="732"/>
      <c r="FH149" s="732"/>
      <c r="FI149" s="732"/>
      <c r="FJ149" s="732"/>
      <c r="FK149" s="732"/>
      <c r="FL149" s="732"/>
      <c r="FM149" s="732"/>
      <c r="FN149" s="732"/>
      <c r="FO149" s="732"/>
      <c r="FP149" s="732"/>
      <c r="FQ149" s="732"/>
      <c r="FR149" s="732"/>
      <c r="FS149" s="732"/>
      <c r="FT149" s="732"/>
      <c r="FU149" s="732"/>
      <c r="FV149" s="732"/>
      <c r="FW149" s="732"/>
      <c r="FX149" s="732"/>
      <c r="FY149" s="732"/>
      <c r="FZ149" s="732"/>
      <c r="GA149" s="732"/>
      <c r="GB149" s="732"/>
      <c r="GC149" s="732"/>
      <c r="GD149" s="732"/>
      <c r="GE149" s="732"/>
      <c r="GF149" s="732"/>
      <c r="GG149" s="732"/>
      <c r="GH149" s="732"/>
      <c r="GI149" s="732"/>
      <c r="GJ149" s="732"/>
      <c r="GK149" s="732"/>
      <c r="GL149" s="732"/>
      <c r="GM149" s="732"/>
      <c r="GN149" s="732"/>
      <c r="GO149" s="732"/>
      <c r="GP149" s="732"/>
      <c r="GQ149" s="732"/>
      <c r="GR149" s="732"/>
      <c r="GS149" s="732"/>
      <c r="GT149" s="732"/>
      <c r="GU149" s="732"/>
      <c r="GV149" s="732"/>
      <c r="GW149" s="732"/>
      <c r="GX149" s="732"/>
      <c r="GY149" s="732"/>
      <c r="GZ149" s="732"/>
      <c r="HA149" s="732"/>
      <c r="HB149" s="732"/>
      <c r="HC149" s="732"/>
      <c r="HD149" s="732"/>
      <c r="HE149" s="732"/>
      <c r="HF149" s="732"/>
      <c r="HG149" s="732"/>
      <c r="HH149" s="732"/>
      <c r="HI149" s="732"/>
      <c r="HJ149" s="732"/>
      <c r="HK149" s="732"/>
      <c r="HL149" s="732"/>
      <c r="HM149" s="732"/>
      <c r="HN149" s="732"/>
      <c r="HO149" s="732"/>
      <c r="HP149" s="732"/>
      <c r="HQ149" s="732"/>
      <c r="HR149" s="732"/>
      <c r="HS149" s="732"/>
      <c r="HT149" s="732"/>
      <c r="HU149" s="732"/>
      <c r="HV149" s="732"/>
      <c r="HW149" s="732"/>
      <c r="HX149" s="732"/>
      <c r="HY149" s="732"/>
      <c r="HZ149" s="732"/>
      <c r="IA149" s="732"/>
      <c r="IB149" s="732"/>
      <c r="IC149" s="732"/>
      <c r="ID149" s="732"/>
      <c r="IE149" s="732"/>
      <c r="IF149" s="732"/>
      <c r="IG149" s="732"/>
      <c r="IH149" s="732"/>
      <c r="II149" s="732"/>
      <c r="IJ149" s="732"/>
      <c r="IK149" s="732"/>
      <c r="IL149" s="732"/>
      <c r="IM149" s="732"/>
      <c r="IN149" s="732"/>
      <c r="IO149" s="732"/>
      <c r="IP149" s="732"/>
      <c r="IQ149" s="732"/>
      <c r="IR149" s="732"/>
      <c r="IS149" s="732"/>
    </row>
    <row r="150" s="563" customFormat="1" ht="22.5" spans="1:253">
      <c r="A150" s="719" t="s">
        <v>243</v>
      </c>
      <c r="B150" s="657" t="s">
        <v>244</v>
      </c>
      <c r="C150" s="698" t="s">
        <v>245</v>
      </c>
      <c r="D150" s="716" t="s">
        <v>17</v>
      </c>
      <c r="E150" s="733">
        <f>'PB VI - Memorial'!G182</f>
        <v>14.34</v>
      </c>
      <c r="F150" s="694">
        <v>104.73</v>
      </c>
      <c r="G150" s="694">
        <v>1501.83</v>
      </c>
      <c r="H150" s="711"/>
      <c r="I150" s="711"/>
      <c r="J150" s="711"/>
      <c r="K150" s="711"/>
      <c r="L150" s="711"/>
      <c r="M150" s="695">
        <f t="shared" si="22"/>
        <v>997182.95</v>
      </c>
      <c r="N150" s="729"/>
      <c r="O150" s="729"/>
      <c r="P150" s="729"/>
      <c r="Q150" s="729"/>
      <c r="R150" s="729"/>
      <c r="S150" s="729"/>
      <c r="T150" s="729"/>
      <c r="U150" s="729"/>
      <c r="V150" s="729"/>
      <c r="W150" s="729"/>
      <c r="X150" s="729"/>
      <c r="Y150" s="729"/>
      <c r="Z150" s="729"/>
      <c r="AA150" s="729"/>
      <c r="AB150" s="729"/>
      <c r="AC150" s="729"/>
      <c r="AD150" s="729"/>
      <c r="AE150" s="729"/>
      <c r="AF150" s="729"/>
      <c r="AG150" s="729"/>
      <c r="AH150" s="729"/>
      <c r="AI150" s="729"/>
      <c r="AJ150" s="729"/>
      <c r="AK150" s="729"/>
      <c r="AL150" s="729"/>
      <c r="AM150" s="729"/>
      <c r="AN150" s="729"/>
      <c r="AO150" s="729"/>
      <c r="AP150" s="729"/>
      <c r="AQ150" s="729"/>
      <c r="AR150" s="729"/>
      <c r="AS150" s="729"/>
      <c r="AT150" s="729"/>
      <c r="AU150" s="729"/>
      <c r="AV150" s="729"/>
      <c r="AW150" s="729"/>
      <c r="AX150" s="729"/>
      <c r="AY150" s="729"/>
      <c r="AZ150" s="729"/>
      <c r="BA150" s="729"/>
      <c r="BB150" s="729"/>
      <c r="BC150" s="729"/>
      <c r="BD150" s="729"/>
      <c r="BE150" s="729"/>
      <c r="BF150" s="729"/>
      <c r="BG150" s="729"/>
      <c r="BH150" s="729"/>
      <c r="BI150" s="729"/>
      <c r="BJ150" s="729"/>
      <c r="BK150" s="729"/>
      <c r="BL150" s="729"/>
      <c r="BM150" s="729"/>
      <c r="BN150" s="729"/>
      <c r="BO150" s="729"/>
      <c r="BP150" s="729"/>
      <c r="BQ150" s="729"/>
      <c r="BR150" s="729"/>
      <c r="BS150" s="729"/>
      <c r="BT150" s="729"/>
      <c r="BU150" s="729"/>
      <c r="BV150" s="729"/>
      <c r="BW150" s="732"/>
      <c r="BX150" s="732"/>
      <c r="BY150" s="732"/>
      <c r="BZ150" s="732"/>
      <c r="CA150" s="732"/>
      <c r="CB150" s="732"/>
      <c r="CC150" s="732"/>
      <c r="CD150" s="732"/>
      <c r="CE150" s="732"/>
      <c r="CF150" s="732"/>
      <c r="CG150" s="732"/>
      <c r="CH150" s="732"/>
      <c r="CI150" s="732"/>
      <c r="CJ150" s="732"/>
      <c r="CK150" s="732"/>
      <c r="CL150" s="732"/>
      <c r="CM150" s="732"/>
      <c r="CN150" s="732"/>
      <c r="CO150" s="732"/>
      <c r="CP150" s="732"/>
      <c r="CQ150" s="732"/>
      <c r="CR150" s="732"/>
      <c r="CS150" s="732"/>
      <c r="CT150" s="732"/>
      <c r="CU150" s="732"/>
      <c r="CV150" s="732"/>
      <c r="CW150" s="732"/>
      <c r="CX150" s="732"/>
      <c r="CY150" s="732"/>
      <c r="CZ150" s="732"/>
      <c r="DA150" s="732"/>
      <c r="DB150" s="732"/>
      <c r="DC150" s="732"/>
      <c r="DD150" s="732"/>
      <c r="DE150" s="732"/>
      <c r="DF150" s="732"/>
      <c r="DG150" s="732"/>
      <c r="DH150" s="732"/>
      <c r="DI150" s="732"/>
      <c r="DJ150" s="732"/>
      <c r="DK150" s="732"/>
      <c r="DL150" s="732"/>
      <c r="DM150" s="732"/>
      <c r="DN150" s="732"/>
      <c r="DO150" s="732"/>
      <c r="DP150" s="732"/>
      <c r="DQ150" s="732"/>
      <c r="DR150" s="732"/>
      <c r="DS150" s="732"/>
      <c r="DT150" s="732"/>
      <c r="DU150" s="732"/>
      <c r="DV150" s="732"/>
      <c r="DW150" s="732"/>
      <c r="DX150" s="732"/>
      <c r="DY150" s="732"/>
      <c r="DZ150" s="732"/>
      <c r="EA150" s="732"/>
      <c r="EB150" s="732"/>
      <c r="EC150" s="732"/>
      <c r="ED150" s="732"/>
      <c r="EE150" s="732"/>
      <c r="EF150" s="732"/>
      <c r="EG150" s="732"/>
      <c r="EH150" s="732"/>
      <c r="EI150" s="732"/>
      <c r="EJ150" s="732"/>
      <c r="EK150" s="732"/>
      <c r="EL150" s="732"/>
      <c r="EM150" s="732"/>
      <c r="EN150" s="732"/>
      <c r="EO150" s="732"/>
      <c r="EP150" s="732"/>
      <c r="EQ150" s="732"/>
      <c r="ER150" s="732"/>
      <c r="ES150" s="732"/>
      <c r="ET150" s="732"/>
      <c r="EU150" s="732"/>
      <c r="EV150" s="732"/>
      <c r="EW150" s="732"/>
      <c r="EX150" s="732"/>
      <c r="EY150" s="732"/>
      <c r="EZ150" s="732"/>
      <c r="FA150" s="732"/>
      <c r="FB150" s="732"/>
      <c r="FC150" s="732"/>
      <c r="FD150" s="732"/>
      <c r="FE150" s="732"/>
      <c r="FF150" s="732"/>
      <c r="FG150" s="732"/>
      <c r="FH150" s="732"/>
      <c r="FI150" s="732"/>
      <c r="FJ150" s="732"/>
      <c r="FK150" s="732"/>
      <c r="FL150" s="732"/>
      <c r="FM150" s="732"/>
      <c r="FN150" s="732"/>
      <c r="FO150" s="732"/>
      <c r="FP150" s="732"/>
      <c r="FQ150" s="732"/>
      <c r="FR150" s="732"/>
      <c r="FS150" s="732"/>
      <c r="FT150" s="732"/>
      <c r="FU150" s="732"/>
      <c r="FV150" s="732"/>
      <c r="FW150" s="732"/>
      <c r="FX150" s="732"/>
      <c r="FY150" s="732"/>
      <c r="FZ150" s="732"/>
      <c r="GA150" s="732"/>
      <c r="GB150" s="732"/>
      <c r="GC150" s="732"/>
      <c r="GD150" s="732"/>
      <c r="GE150" s="732"/>
      <c r="GF150" s="732"/>
      <c r="GG150" s="732"/>
      <c r="GH150" s="732"/>
      <c r="GI150" s="732"/>
      <c r="GJ150" s="732"/>
      <c r="GK150" s="732"/>
      <c r="GL150" s="732"/>
      <c r="GM150" s="732"/>
      <c r="GN150" s="732"/>
      <c r="GO150" s="732"/>
      <c r="GP150" s="732"/>
      <c r="GQ150" s="732"/>
      <c r="GR150" s="732"/>
      <c r="GS150" s="732"/>
      <c r="GT150" s="732"/>
      <c r="GU150" s="732"/>
      <c r="GV150" s="732"/>
      <c r="GW150" s="732"/>
      <c r="GX150" s="732"/>
      <c r="GY150" s="732"/>
      <c r="GZ150" s="732"/>
      <c r="HA150" s="732"/>
      <c r="HB150" s="732"/>
      <c r="HC150" s="732"/>
      <c r="HD150" s="732"/>
      <c r="HE150" s="732"/>
      <c r="HF150" s="732"/>
      <c r="HG150" s="732"/>
      <c r="HH150" s="732"/>
      <c r="HI150" s="732"/>
      <c r="HJ150" s="732"/>
      <c r="HK150" s="732"/>
      <c r="HL150" s="732"/>
      <c r="HM150" s="732"/>
      <c r="HN150" s="732"/>
      <c r="HO150" s="732"/>
      <c r="HP150" s="732"/>
      <c r="HQ150" s="732"/>
      <c r="HR150" s="732"/>
      <c r="HS150" s="732"/>
      <c r="HT150" s="732"/>
      <c r="HU150" s="732"/>
      <c r="HV150" s="732"/>
      <c r="HW150" s="732"/>
      <c r="HX150" s="732"/>
      <c r="HY150" s="732"/>
      <c r="HZ150" s="732"/>
      <c r="IA150" s="732"/>
      <c r="IB150" s="732"/>
      <c r="IC150" s="732"/>
      <c r="ID150" s="732"/>
      <c r="IE150" s="732"/>
      <c r="IF150" s="732"/>
      <c r="IG150" s="732"/>
      <c r="IH150" s="732"/>
      <c r="II150" s="732"/>
      <c r="IJ150" s="732"/>
      <c r="IK150" s="732"/>
      <c r="IL150" s="732"/>
      <c r="IM150" s="732"/>
      <c r="IN150" s="732"/>
      <c r="IO150" s="732"/>
      <c r="IP150" s="732"/>
      <c r="IQ150" s="732"/>
      <c r="IR150" s="732"/>
      <c r="IS150" s="732"/>
    </row>
    <row r="151" s="563" customFormat="1" ht="22.5" spans="1:253">
      <c r="A151" s="719" t="s">
        <v>246</v>
      </c>
      <c r="B151" s="657" t="s">
        <v>247</v>
      </c>
      <c r="C151" s="698" t="s">
        <v>248</v>
      </c>
      <c r="D151" s="716" t="s">
        <v>17</v>
      </c>
      <c r="E151" s="733">
        <f>'PB VI - Memorial'!G189</f>
        <v>40.09</v>
      </c>
      <c r="F151" s="694">
        <v>94.65</v>
      </c>
      <c r="G151" s="694">
        <v>3794.52</v>
      </c>
      <c r="H151" s="711"/>
      <c r="I151" s="711"/>
      <c r="J151" s="711"/>
      <c r="K151" s="711"/>
      <c r="L151" s="711"/>
      <c r="M151" s="695">
        <f t="shared" si="22"/>
        <v>997182.95</v>
      </c>
      <c r="N151" s="729"/>
      <c r="O151" s="729"/>
      <c r="P151" s="729"/>
      <c r="Q151" s="729"/>
      <c r="R151" s="729"/>
      <c r="S151" s="729"/>
      <c r="T151" s="729"/>
      <c r="U151" s="729"/>
      <c r="V151" s="729"/>
      <c r="W151" s="729"/>
      <c r="X151" s="729"/>
      <c r="Y151" s="729"/>
      <c r="Z151" s="729"/>
      <c r="AA151" s="729"/>
      <c r="AB151" s="729"/>
      <c r="AC151" s="729"/>
      <c r="AD151" s="729"/>
      <c r="AE151" s="729"/>
      <c r="AF151" s="729"/>
      <c r="AG151" s="729"/>
      <c r="AH151" s="729"/>
      <c r="AI151" s="729"/>
      <c r="AJ151" s="729"/>
      <c r="AK151" s="729"/>
      <c r="AL151" s="729"/>
      <c r="AM151" s="729"/>
      <c r="AN151" s="729"/>
      <c r="AO151" s="729"/>
      <c r="AP151" s="729"/>
      <c r="AQ151" s="729"/>
      <c r="AR151" s="729"/>
      <c r="AS151" s="729"/>
      <c r="AT151" s="729"/>
      <c r="AU151" s="729"/>
      <c r="AV151" s="729"/>
      <c r="AW151" s="729"/>
      <c r="AX151" s="729"/>
      <c r="AY151" s="729"/>
      <c r="AZ151" s="729"/>
      <c r="BA151" s="729"/>
      <c r="BB151" s="729"/>
      <c r="BC151" s="729"/>
      <c r="BD151" s="729"/>
      <c r="BE151" s="729"/>
      <c r="BF151" s="729"/>
      <c r="BG151" s="729"/>
      <c r="BH151" s="729"/>
      <c r="BI151" s="729"/>
      <c r="BJ151" s="729"/>
      <c r="BK151" s="729"/>
      <c r="BL151" s="729"/>
      <c r="BM151" s="729"/>
      <c r="BN151" s="729"/>
      <c r="BO151" s="729"/>
      <c r="BP151" s="729"/>
      <c r="BQ151" s="729"/>
      <c r="BR151" s="729"/>
      <c r="BS151" s="729"/>
      <c r="BT151" s="729"/>
      <c r="BU151" s="729"/>
      <c r="BV151" s="729"/>
      <c r="BW151" s="732"/>
      <c r="BX151" s="732"/>
      <c r="BY151" s="732"/>
      <c r="BZ151" s="732"/>
      <c r="CA151" s="732"/>
      <c r="CB151" s="732"/>
      <c r="CC151" s="732"/>
      <c r="CD151" s="732"/>
      <c r="CE151" s="732"/>
      <c r="CF151" s="732"/>
      <c r="CG151" s="732"/>
      <c r="CH151" s="732"/>
      <c r="CI151" s="732"/>
      <c r="CJ151" s="732"/>
      <c r="CK151" s="732"/>
      <c r="CL151" s="732"/>
      <c r="CM151" s="732"/>
      <c r="CN151" s="732"/>
      <c r="CO151" s="732"/>
      <c r="CP151" s="732"/>
      <c r="CQ151" s="732"/>
      <c r="CR151" s="732"/>
      <c r="CS151" s="732"/>
      <c r="CT151" s="732"/>
      <c r="CU151" s="732"/>
      <c r="CV151" s="732"/>
      <c r="CW151" s="732"/>
      <c r="CX151" s="732"/>
      <c r="CY151" s="732"/>
      <c r="CZ151" s="732"/>
      <c r="DA151" s="732"/>
      <c r="DB151" s="732"/>
      <c r="DC151" s="732"/>
      <c r="DD151" s="732"/>
      <c r="DE151" s="732"/>
      <c r="DF151" s="732"/>
      <c r="DG151" s="732"/>
      <c r="DH151" s="732"/>
      <c r="DI151" s="732"/>
      <c r="DJ151" s="732"/>
      <c r="DK151" s="732"/>
      <c r="DL151" s="732"/>
      <c r="DM151" s="732"/>
      <c r="DN151" s="732"/>
      <c r="DO151" s="732"/>
      <c r="DP151" s="732"/>
      <c r="DQ151" s="732"/>
      <c r="DR151" s="732"/>
      <c r="DS151" s="732"/>
      <c r="DT151" s="732"/>
      <c r="DU151" s="732"/>
      <c r="DV151" s="732"/>
      <c r="DW151" s="732"/>
      <c r="DX151" s="732"/>
      <c r="DY151" s="732"/>
      <c r="DZ151" s="732"/>
      <c r="EA151" s="732"/>
      <c r="EB151" s="732"/>
      <c r="EC151" s="732"/>
      <c r="ED151" s="732"/>
      <c r="EE151" s="732"/>
      <c r="EF151" s="732"/>
      <c r="EG151" s="732"/>
      <c r="EH151" s="732"/>
      <c r="EI151" s="732"/>
      <c r="EJ151" s="732"/>
      <c r="EK151" s="732"/>
      <c r="EL151" s="732"/>
      <c r="EM151" s="732"/>
      <c r="EN151" s="732"/>
      <c r="EO151" s="732"/>
      <c r="EP151" s="732"/>
      <c r="EQ151" s="732"/>
      <c r="ER151" s="732"/>
      <c r="ES151" s="732"/>
      <c r="ET151" s="732"/>
      <c r="EU151" s="732"/>
      <c r="EV151" s="732"/>
      <c r="EW151" s="732"/>
      <c r="EX151" s="732"/>
      <c r="EY151" s="732"/>
      <c r="EZ151" s="732"/>
      <c r="FA151" s="732"/>
      <c r="FB151" s="732"/>
      <c r="FC151" s="732"/>
      <c r="FD151" s="732"/>
      <c r="FE151" s="732"/>
      <c r="FF151" s="732"/>
      <c r="FG151" s="732"/>
      <c r="FH151" s="732"/>
      <c r="FI151" s="732"/>
      <c r="FJ151" s="732"/>
      <c r="FK151" s="732"/>
      <c r="FL151" s="732"/>
      <c r="FM151" s="732"/>
      <c r="FN151" s="732"/>
      <c r="FO151" s="732"/>
      <c r="FP151" s="732"/>
      <c r="FQ151" s="732"/>
      <c r="FR151" s="732"/>
      <c r="FS151" s="732"/>
      <c r="FT151" s="732"/>
      <c r="FU151" s="732"/>
      <c r="FV151" s="732"/>
      <c r="FW151" s="732"/>
      <c r="FX151" s="732"/>
      <c r="FY151" s="732"/>
      <c r="FZ151" s="732"/>
      <c r="GA151" s="732"/>
      <c r="GB151" s="732"/>
      <c r="GC151" s="732"/>
      <c r="GD151" s="732"/>
      <c r="GE151" s="732"/>
      <c r="GF151" s="732"/>
      <c r="GG151" s="732"/>
      <c r="GH151" s="732"/>
      <c r="GI151" s="732"/>
      <c r="GJ151" s="732"/>
      <c r="GK151" s="732"/>
      <c r="GL151" s="732"/>
      <c r="GM151" s="732"/>
      <c r="GN151" s="732"/>
      <c r="GO151" s="732"/>
      <c r="GP151" s="732"/>
      <c r="GQ151" s="732"/>
      <c r="GR151" s="732"/>
      <c r="GS151" s="732"/>
      <c r="GT151" s="732"/>
      <c r="GU151" s="732"/>
      <c r="GV151" s="732"/>
      <c r="GW151" s="732"/>
      <c r="GX151" s="732"/>
      <c r="GY151" s="732"/>
      <c r="GZ151" s="732"/>
      <c r="HA151" s="732"/>
      <c r="HB151" s="732"/>
      <c r="HC151" s="732"/>
      <c r="HD151" s="732"/>
      <c r="HE151" s="732"/>
      <c r="HF151" s="732"/>
      <c r="HG151" s="732"/>
      <c r="HH151" s="732"/>
      <c r="HI151" s="732"/>
      <c r="HJ151" s="732"/>
      <c r="HK151" s="732"/>
      <c r="HL151" s="732"/>
      <c r="HM151" s="732"/>
      <c r="HN151" s="732"/>
      <c r="HO151" s="732"/>
      <c r="HP151" s="732"/>
      <c r="HQ151" s="732"/>
      <c r="HR151" s="732"/>
      <c r="HS151" s="732"/>
      <c r="HT151" s="732"/>
      <c r="HU151" s="732"/>
      <c r="HV151" s="732"/>
      <c r="HW151" s="732"/>
      <c r="HX151" s="732"/>
      <c r="HY151" s="732"/>
      <c r="HZ151" s="732"/>
      <c r="IA151" s="732"/>
      <c r="IB151" s="732"/>
      <c r="IC151" s="732"/>
      <c r="ID151" s="732"/>
      <c r="IE151" s="732"/>
      <c r="IF151" s="732"/>
      <c r="IG151" s="732"/>
      <c r="IH151" s="732"/>
      <c r="II151" s="732"/>
      <c r="IJ151" s="732"/>
      <c r="IK151" s="732"/>
      <c r="IL151" s="732"/>
      <c r="IM151" s="732"/>
      <c r="IN151" s="732"/>
      <c r="IO151" s="732"/>
      <c r="IP151" s="732"/>
      <c r="IQ151" s="732"/>
      <c r="IR151" s="732"/>
      <c r="IS151" s="732"/>
    </row>
    <row r="152" s="563" customFormat="1" ht="22.5" spans="1:253">
      <c r="A152" s="719" t="s">
        <v>249</v>
      </c>
      <c r="B152" s="657" t="s">
        <v>250</v>
      </c>
      <c r="C152" s="698" t="s">
        <v>251</v>
      </c>
      <c r="D152" s="716" t="s">
        <v>17</v>
      </c>
      <c r="E152" s="733">
        <f>'PB VI - Memorial'!G175</f>
        <v>174.76</v>
      </c>
      <c r="F152" s="694">
        <v>88.55</v>
      </c>
      <c r="G152" s="694">
        <v>15475</v>
      </c>
      <c r="H152" s="711"/>
      <c r="I152" s="711"/>
      <c r="J152" s="711"/>
      <c r="K152" s="711"/>
      <c r="L152" s="711"/>
      <c r="M152" s="695">
        <f t="shared" si="22"/>
        <v>997182.95</v>
      </c>
      <c r="N152" s="729"/>
      <c r="O152" s="729"/>
      <c r="P152" s="729"/>
      <c r="Q152" s="729"/>
      <c r="R152" s="729"/>
      <c r="S152" s="729"/>
      <c r="T152" s="729"/>
      <c r="U152" s="729"/>
      <c r="V152" s="729"/>
      <c r="W152" s="729"/>
      <c r="X152" s="729"/>
      <c r="Y152" s="729"/>
      <c r="Z152" s="729"/>
      <c r="AA152" s="729"/>
      <c r="AB152" s="729"/>
      <c r="AC152" s="729"/>
      <c r="AD152" s="729"/>
      <c r="AE152" s="729"/>
      <c r="AF152" s="729"/>
      <c r="AG152" s="729"/>
      <c r="AH152" s="729"/>
      <c r="AI152" s="729"/>
      <c r="AJ152" s="729"/>
      <c r="AK152" s="729"/>
      <c r="AL152" s="729"/>
      <c r="AM152" s="729"/>
      <c r="AN152" s="729"/>
      <c r="AO152" s="729"/>
      <c r="AP152" s="729"/>
      <c r="AQ152" s="729"/>
      <c r="AR152" s="729"/>
      <c r="AS152" s="729"/>
      <c r="AT152" s="729"/>
      <c r="AU152" s="729"/>
      <c r="AV152" s="729"/>
      <c r="AW152" s="729"/>
      <c r="AX152" s="729"/>
      <c r="AY152" s="729"/>
      <c r="AZ152" s="729"/>
      <c r="BA152" s="729"/>
      <c r="BB152" s="729"/>
      <c r="BC152" s="729"/>
      <c r="BD152" s="729"/>
      <c r="BE152" s="729"/>
      <c r="BF152" s="729"/>
      <c r="BG152" s="729"/>
      <c r="BH152" s="729"/>
      <c r="BI152" s="729"/>
      <c r="BJ152" s="729"/>
      <c r="BK152" s="729"/>
      <c r="BL152" s="729"/>
      <c r="BM152" s="729"/>
      <c r="BN152" s="729"/>
      <c r="BO152" s="729"/>
      <c r="BP152" s="729"/>
      <c r="BQ152" s="729"/>
      <c r="BR152" s="729"/>
      <c r="BS152" s="729"/>
      <c r="BT152" s="729"/>
      <c r="BU152" s="729"/>
      <c r="BV152" s="729"/>
      <c r="BW152" s="732"/>
      <c r="BX152" s="732"/>
      <c r="BY152" s="732"/>
      <c r="BZ152" s="732"/>
      <c r="CA152" s="732"/>
      <c r="CB152" s="732"/>
      <c r="CC152" s="732"/>
      <c r="CD152" s="732"/>
      <c r="CE152" s="732"/>
      <c r="CF152" s="732"/>
      <c r="CG152" s="732"/>
      <c r="CH152" s="732"/>
      <c r="CI152" s="732"/>
      <c r="CJ152" s="732"/>
      <c r="CK152" s="732"/>
      <c r="CL152" s="732"/>
      <c r="CM152" s="732"/>
      <c r="CN152" s="732"/>
      <c r="CO152" s="732"/>
      <c r="CP152" s="732"/>
      <c r="CQ152" s="732"/>
      <c r="CR152" s="732"/>
      <c r="CS152" s="732"/>
      <c r="CT152" s="732"/>
      <c r="CU152" s="732"/>
      <c r="CV152" s="732"/>
      <c r="CW152" s="732"/>
      <c r="CX152" s="732"/>
      <c r="CY152" s="732"/>
      <c r="CZ152" s="732"/>
      <c r="DA152" s="732"/>
      <c r="DB152" s="732"/>
      <c r="DC152" s="732"/>
      <c r="DD152" s="732"/>
      <c r="DE152" s="732"/>
      <c r="DF152" s="732"/>
      <c r="DG152" s="732"/>
      <c r="DH152" s="732"/>
      <c r="DI152" s="732"/>
      <c r="DJ152" s="732"/>
      <c r="DK152" s="732"/>
      <c r="DL152" s="732"/>
      <c r="DM152" s="732"/>
      <c r="DN152" s="732"/>
      <c r="DO152" s="732"/>
      <c r="DP152" s="732"/>
      <c r="DQ152" s="732"/>
      <c r="DR152" s="732"/>
      <c r="DS152" s="732"/>
      <c r="DT152" s="732"/>
      <c r="DU152" s="732"/>
      <c r="DV152" s="732"/>
      <c r="DW152" s="732"/>
      <c r="DX152" s="732"/>
      <c r="DY152" s="732"/>
      <c r="DZ152" s="732"/>
      <c r="EA152" s="732"/>
      <c r="EB152" s="732"/>
      <c r="EC152" s="732"/>
      <c r="ED152" s="732"/>
      <c r="EE152" s="732"/>
      <c r="EF152" s="732"/>
      <c r="EG152" s="732"/>
      <c r="EH152" s="732"/>
      <c r="EI152" s="732"/>
      <c r="EJ152" s="732"/>
      <c r="EK152" s="732"/>
      <c r="EL152" s="732"/>
      <c r="EM152" s="732"/>
      <c r="EN152" s="732"/>
      <c r="EO152" s="732"/>
      <c r="EP152" s="732"/>
      <c r="EQ152" s="732"/>
      <c r="ER152" s="732"/>
      <c r="ES152" s="732"/>
      <c r="ET152" s="732"/>
      <c r="EU152" s="732"/>
      <c r="EV152" s="732"/>
      <c r="EW152" s="732"/>
      <c r="EX152" s="732"/>
      <c r="EY152" s="732"/>
      <c r="EZ152" s="732"/>
      <c r="FA152" s="732"/>
      <c r="FB152" s="732"/>
      <c r="FC152" s="732"/>
      <c r="FD152" s="732"/>
      <c r="FE152" s="732"/>
      <c r="FF152" s="732"/>
      <c r="FG152" s="732"/>
      <c r="FH152" s="732"/>
      <c r="FI152" s="732"/>
      <c r="FJ152" s="732"/>
      <c r="FK152" s="732"/>
      <c r="FL152" s="732"/>
      <c r="FM152" s="732"/>
      <c r="FN152" s="732"/>
      <c r="FO152" s="732"/>
      <c r="FP152" s="732"/>
      <c r="FQ152" s="732"/>
      <c r="FR152" s="732"/>
      <c r="FS152" s="732"/>
      <c r="FT152" s="732"/>
      <c r="FU152" s="732"/>
      <c r="FV152" s="732"/>
      <c r="FW152" s="732"/>
      <c r="FX152" s="732"/>
      <c r="FY152" s="732"/>
      <c r="FZ152" s="732"/>
      <c r="GA152" s="732"/>
      <c r="GB152" s="732"/>
      <c r="GC152" s="732"/>
      <c r="GD152" s="732"/>
      <c r="GE152" s="732"/>
      <c r="GF152" s="732"/>
      <c r="GG152" s="732"/>
      <c r="GH152" s="732"/>
      <c r="GI152" s="732"/>
      <c r="GJ152" s="732"/>
      <c r="GK152" s="732"/>
      <c r="GL152" s="732"/>
      <c r="GM152" s="732"/>
      <c r="GN152" s="732"/>
      <c r="GO152" s="732"/>
      <c r="GP152" s="732"/>
      <c r="GQ152" s="732"/>
      <c r="GR152" s="732"/>
      <c r="GS152" s="732"/>
      <c r="GT152" s="732"/>
      <c r="GU152" s="732"/>
      <c r="GV152" s="732"/>
      <c r="GW152" s="732"/>
      <c r="GX152" s="732"/>
      <c r="GY152" s="732"/>
      <c r="GZ152" s="732"/>
      <c r="HA152" s="732"/>
      <c r="HB152" s="732"/>
      <c r="HC152" s="732"/>
      <c r="HD152" s="732"/>
      <c r="HE152" s="732"/>
      <c r="HF152" s="732"/>
      <c r="HG152" s="732"/>
      <c r="HH152" s="732"/>
      <c r="HI152" s="732"/>
      <c r="HJ152" s="732"/>
      <c r="HK152" s="732"/>
      <c r="HL152" s="732"/>
      <c r="HM152" s="732"/>
      <c r="HN152" s="732"/>
      <c r="HO152" s="732"/>
      <c r="HP152" s="732"/>
      <c r="HQ152" s="732"/>
      <c r="HR152" s="732"/>
      <c r="HS152" s="732"/>
      <c r="HT152" s="732"/>
      <c r="HU152" s="732"/>
      <c r="HV152" s="732"/>
      <c r="HW152" s="732"/>
      <c r="HX152" s="732"/>
      <c r="HY152" s="732"/>
      <c r="HZ152" s="732"/>
      <c r="IA152" s="732"/>
      <c r="IB152" s="732"/>
      <c r="IC152" s="732"/>
      <c r="ID152" s="732"/>
      <c r="IE152" s="732"/>
      <c r="IF152" s="732"/>
      <c r="IG152" s="732"/>
      <c r="IH152" s="732"/>
      <c r="II152" s="732"/>
      <c r="IJ152" s="732"/>
      <c r="IK152" s="732"/>
      <c r="IL152" s="732"/>
      <c r="IM152" s="732"/>
      <c r="IN152" s="732"/>
      <c r="IO152" s="732"/>
      <c r="IP152" s="732"/>
      <c r="IQ152" s="732"/>
      <c r="IR152" s="732"/>
      <c r="IS152" s="732"/>
    </row>
    <row r="153" s="563" customFormat="1" ht="15" spans="1:253">
      <c r="A153" s="719"/>
      <c r="B153" s="657"/>
      <c r="C153" s="698"/>
      <c r="D153" s="716"/>
      <c r="E153" s="733"/>
      <c r="F153" s="694"/>
      <c r="G153" s="694"/>
      <c r="H153" s="711"/>
      <c r="I153" s="711"/>
      <c r="J153" s="711"/>
      <c r="K153" s="711"/>
      <c r="L153" s="711"/>
      <c r="M153" s="695"/>
      <c r="N153" s="729"/>
      <c r="O153" s="729"/>
      <c r="P153" s="729"/>
      <c r="Q153" s="729"/>
      <c r="R153" s="729"/>
      <c r="S153" s="729"/>
      <c r="T153" s="729"/>
      <c r="U153" s="729"/>
      <c r="V153" s="729"/>
      <c r="W153" s="729"/>
      <c r="X153" s="729"/>
      <c r="Y153" s="729"/>
      <c r="Z153" s="729"/>
      <c r="AA153" s="729"/>
      <c r="AB153" s="729"/>
      <c r="AC153" s="729"/>
      <c r="AD153" s="729"/>
      <c r="AE153" s="729"/>
      <c r="AF153" s="729"/>
      <c r="AG153" s="729"/>
      <c r="AH153" s="729"/>
      <c r="AI153" s="729"/>
      <c r="AJ153" s="729"/>
      <c r="AK153" s="729"/>
      <c r="AL153" s="729"/>
      <c r="AM153" s="729"/>
      <c r="AN153" s="729"/>
      <c r="AO153" s="729"/>
      <c r="AP153" s="729"/>
      <c r="AQ153" s="729"/>
      <c r="AR153" s="729"/>
      <c r="AS153" s="729"/>
      <c r="AT153" s="729"/>
      <c r="AU153" s="729"/>
      <c r="AV153" s="729"/>
      <c r="AW153" s="729"/>
      <c r="AX153" s="729"/>
      <c r="AY153" s="729"/>
      <c r="AZ153" s="729"/>
      <c r="BA153" s="729"/>
      <c r="BB153" s="729"/>
      <c r="BC153" s="729"/>
      <c r="BD153" s="729"/>
      <c r="BE153" s="729"/>
      <c r="BF153" s="729"/>
      <c r="BG153" s="729"/>
      <c r="BH153" s="729"/>
      <c r="BI153" s="729"/>
      <c r="BJ153" s="729"/>
      <c r="BK153" s="729"/>
      <c r="BL153" s="729"/>
      <c r="BM153" s="729"/>
      <c r="BN153" s="729"/>
      <c r="BO153" s="729"/>
      <c r="BP153" s="729"/>
      <c r="BQ153" s="729"/>
      <c r="BR153" s="729"/>
      <c r="BS153" s="729"/>
      <c r="BT153" s="729"/>
      <c r="BU153" s="729"/>
      <c r="BV153" s="729"/>
      <c r="BW153" s="732"/>
      <c r="BX153" s="732"/>
      <c r="BY153" s="732"/>
      <c r="BZ153" s="732"/>
      <c r="CA153" s="732"/>
      <c r="CB153" s="732"/>
      <c r="CC153" s="732"/>
      <c r="CD153" s="732"/>
      <c r="CE153" s="732"/>
      <c r="CF153" s="732"/>
      <c r="CG153" s="732"/>
      <c r="CH153" s="732"/>
      <c r="CI153" s="732"/>
      <c r="CJ153" s="732"/>
      <c r="CK153" s="732"/>
      <c r="CL153" s="732"/>
      <c r="CM153" s="732"/>
      <c r="CN153" s="732"/>
      <c r="CO153" s="732"/>
      <c r="CP153" s="732"/>
      <c r="CQ153" s="732"/>
      <c r="CR153" s="732"/>
      <c r="CS153" s="732"/>
      <c r="CT153" s="732"/>
      <c r="CU153" s="732"/>
      <c r="CV153" s="732"/>
      <c r="CW153" s="732"/>
      <c r="CX153" s="732"/>
      <c r="CY153" s="732"/>
      <c r="CZ153" s="732"/>
      <c r="DA153" s="732"/>
      <c r="DB153" s="732"/>
      <c r="DC153" s="732"/>
      <c r="DD153" s="732"/>
      <c r="DE153" s="732"/>
      <c r="DF153" s="732"/>
      <c r="DG153" s="732"/>
      <c r="DH153" s="732"/>
      <c r="DI153" s="732"/>
      <c r="DJ153" s="732"/>
      <c r="DK153" s="732"/>
      <c r="DL153" s="732"/>
      <c r="DM153" s="732"/>
      <c r="DN153" s="732"/>
      <c r="DO153" s="732"/>
      <c r="DP153" s="732"/>
      <c r="DQ153" s="732"/>
      <c r="DR153" s="732"/>
      <c r="DS153" s="732"/>
      <c r="DT153" s="732"/>
      <c r="DU153" s="732"/>
      <c r="DV153" s="732"/>
      <c r="DW153" s="732"/>
      <c r="DX153" s="732"/>
      <c r="DY153" s="732"/>
      <c r="DZ153" s="732"/>
      <c r="EA153" s="732"/>
      <c r="EB153" s="732"/>
      <c r="EC153" s="732"/>
      <c r="ED153" s="732"/>
      <c r="EE153" s="732"/>
      <c r="EF153" s="732"/>
      <c r="EG153" s="732"/>
      <c r="EH153" s="732"/>
      <c r="EI153" s="732"/>
      <c r="EJ153" s="732"/>
      <c r="EK153" s="732"/>
      <c r="EL153" s="732"/>
      <c r="EM153" s="732"/>
      <c r="EN153" s="732"/>
      <c r="EO153" s="732"/>
      <c r="EP153" s="732"/>
      <c r="EQ153" s="732"/>
      <c r="ER153" s="732"/>
      <c r="ES153" s="732"/>
      <c r="ET153" s="732"/>
      <c r="EU153" s="732"/>
      <c r="EV153" s="732"/>
      <c r="EW153" s="732"/>
      <c r="EX153" s="732"/>
      <c r="EY153" s="732"/>
      <c r="EZ153" s="732"/>
      <c r="FA153" s="732"/>
      <c r="FB153" s="732"/>
      <c r="FC153" s="732"/>
      <c r="FD153" s="732"/>
      <c r="FE153" s="732"/>
      <c r="FF153" s="732"/>
      <c r="FG153" s="732"/>
      <c r="FH153" s="732"/>
      <c r="FI153" s="732"/>
      <c r="FJ153" s="732"/>
      <c r="FK153" s="732"/>
      <c r="FL153" s="732"/>
      <c r="FM153" s="732"/>
      <c r="FN153" s="732"/>
      <c r="FO153" s="732"/>
      <c r="FP153" s="732"/>
      <c r="FQ153" s="732"/>
      <c r="FR153" s="732"/>
      <c r="FS153" s="732"/>
      <c r="FT153" s="732"/>
      <c r="FU153" s="732"/>
      <c r="FV153" s="732"/>
      <c r="FW153" s="732"/>
      <c r="FX153" s="732"/>
      <c r="FY153" s="732"/>
      <c r="FZ153" s="732"/>
      <c r="GA153" s="732"/>
      <c r="GB153" s="732"/>
      <c r="GC153" s="732"/>
      <c r="GD153" s="732"/>
      <c r="GE153" s="732"/>
      <c r="GF153" s="732"/>
      <c r="GG153" s="732"/>
      <c r="GH153" s="732"/>
      <c r="GI153" s="732"/>
      <c r="GJ153" s="732"/>
      <c r="GK153" s="732"/>
      <c r="GL153" s="732"/>
      <c r="GM153" s="732"/>
      <c r="GN153" s="732"/>
      <c r="GO153" s="732"/>
      <c r="GP153" s="732"/>
      <c r="GQ153" s="732"/>
      <c r="GR153" s="732"/>
      <c r="GS153" s="732"/>
      <c r="GT153" s="732"/>
      <c r="GU153" s="732"/>
      <c r="GV153" s="732"/>
      <c r="GW153" s="732"/>
      <c r="GX153" s="732"/>
      <c r="GY153" s="732"/>
      <c r="GZ153" s="732"/>
      <c r="HA153" s="732"/>
      <c r="HB153" s="732"/>
      <c r="HC153" s="732"/>
      <c r="HD153" s="732"/>
      <c r="HE153" s="732"/>
      <c r="HF153" s="732"/>
      <c r="HG153" s="732"/>
      <c r="HH153" s="732"/>
      <c r="HI153" s="732"/>
      <c r="HJ153" s="732"/>
      <c r="HK153" s="732"/>
      <c r="HL153" s="732"/>
      <c r="HM153" s="732"/>
      <c r="HN153" s="732"/>
      <c r="HO153" s="732"/>
      <c r="HP153" s="732"/>
      <c r="HQ153" s="732"/>
      <c r="HR153" s="732"/>
      <c r="HS153" s="732"/>
      <c r="HT153" s="732"/>
      <c r="HU153" s="732"/>
      <c r="HV153" s="732"/>
      <c r="HW153" s="732"/>
      <c r="HX153" s="732"/>
      <c r="HY153" s="732"/>
      <c r="HZ153" s="732"/>
      <c r="IA153" s="732"/>
      <c r="IB153" s="732"/>
      <c r="IC153" s="732"/>
      <c r="ID153" s="732"/>
      <c r="IE153" s="732"/>
      <c r="IF153" s="732"/>
      <c r="IG153" s="732"/>
      <c r="IH153" s="732"/>
      <c r="II153" s="732"/>
      <c r="IJ153" s="732"/>
      <c r="IK153" s="732"/>
      <c r="IL153" s="732"/>
      <c r="IM153" s="732"/>
      <c r="IN153" s="732"/>
      <c r="IO153" s="732"/>
      <c r="IP153" s="732"/>
      <c r="IQ153" s="732"/>
      <c r="IR153" s="732"/>
      <c r="IS153" s="732"/>
    </row>
    <row r="154" s="563" customFormat="1" ht="15" spans="1:253">
      <c r="A154" s="734"/>
      <c r="B154" s="722" t="s">
        <v>12</v>
      </c>
      <c r="C154" s="735" t="s">
        <v>252</v>
      </c>
      <c r="D154" s="736"/>
      <c r="E154" s="737"/>
      <c r="F154" s="738"/>
      <c r="G154" s="738"/>
      <c r="H154" s="711"/>
      <c r="I154" s="711"/>
      <c r="J154" s="711"/>
      <c r="K154" s="711"/>
      <c r="L154" s="711"/>
      <c r="M154" s="695">
        <f>$F$432</f>
        <v>997182.95</v>
      </c>
      <c r="N154" s="729"/>
      <c r="O154" s="729"/>
      <c r="P154" s="729"/>
      <c r="Q154" s="729"/>
      <c r="R154" s="729"/>
      <c r="S154" s="729"/>
      <c r="T154" s="729"/>
      <c r="U154" s="729"/>
      <c r="V154" s="729"/>
      <c r="W154" s="729"/>
      <c r="X154" s="729"/>
      <c r="Y154" s="729"/>
      <c r="Z154" s="729"/>
      <c r="AA154" s="729"/>
      <c r="AB154" s="729"/>
      <c r="AC154" s="729"/>
      <c r="AD154" s="729"/>
      <c r="AE154" s="729"/>
      <c r="AF154" s="729"/>
      <c r="AG154" s="729"/>
      <c r="AH154" s="729"/>
      <c r="AI154" s="729"/>
      <c r="AJ154" s="729"/>
      <c r="AK154" s="729"/>
      <c r="AL154" s="729"/>
      <c r="AM154" s="729"/>
      <c r="AN154" s="729"/>
      <c r="AO154" s="729"/>
      <c r="AP154" s="729"/>
      <c r="AQ154" s="729"/>
      <c r="AR154" s="729"/>
      <c r="AS154" s="729"/>
      <c r="AT154" s="729"/>
      <c r="AU154" s="729"/>
      <c r="AV154" s="729"/>
      <c r="AW154" s="729"/>
      <c r="AX154" s="729"/>
      <c r="AY154" s="729"/>
      <c r="AZ154" s="729"/>
      <c r="BA154" s="729"/>
      <c r="BB154" s="729"/>
      <c r="BC154" s="729"/>
      <c r="BD154" s="729"/>
      <c r="BE154" s="729"/>
      <c r="BF154" s="729"/>
      <c r="BG154" s="729"/>
      <c r="BH154" s="729"/>
      <c r="BI154" s="729"/>
      <c r="BJ154" s="729"/>
      <c r="BK154" s="729"/>
      <c r="BL154" s="729"/>
      <c r="BM154" s="729"/>
      <c r="BN154" s="729"/>
      <c r="BO154" s="729"/>
      <c r="BP154" s="729"/>
      <c r="BQ154" s="729"/>
      <c r="BR154" s="729"/>
      <c r="BS154" s="729"/>
      <c r="BT154" s="729"/>
      <c r="BU154" s="729"/>
      <c r="BV154" s="729"/>
      <c r="BW154" s="732"/>
      <c r="BX154" s="732"/>
      <c r="BY154" s="732"/>
      <c r="BZ154" s="732"/>
      <c r="CA154" s="732"/>
      <c r="CB154" s="732"/>
      <c r="CC154" s="732"/>
      <c r="CD154" s="732"/>
      <c r="CE154" s="732"/>
      <c r="CF154" s="732"/>
      <c r="CG154" s="732"/>
      <c r="CH154" s="732"/>
      <c r="CI154" s="732"/>
      <c r="CJ154" s="732"/>
      <c r="CK154" s="732"/>
      <c r="CL154" s="732"/>
      <c r="CM154" s="732"/>
      <c r="CN154" s="732"/>
      <c r="CO154" s="732"/>
      <c r="CP154" s="732"/>
      <c r="CQ154" s="732"/>
      <c r="CR154" s="732"/>
      <c r="CS154" s="732"/>
      <c r="CT154" s="732"/>
      <c r="CU154" s="732"/>
      <c r="CV154" s="732"/>
      <c r="CW154" s="732"/>
      <c r="CX154" s="732"/>
      <c r="CY154" s="732"/>
      <c r="CZ154" s="732"/>
      <c r="DA154" s="732"/>
      <c r="DB154" s="732"/>
      <c r="DC154" s="732"/>
      <c r="DD154" s="732"/>
      <c r="DE154" s="732"/>
      <c r="DF154" s="732"/>
      <c r="DG154" s="732"/>
      <c r="DH154" s="732"/>
      <c r="DI154" s="732"/>
      <c r="DJ154" s="732"/>
      <c r="DK154" s="732"/>
      <c r="DL154" s="732"/>
      <c r="DM154" s="732"/>
      <c r="DN154" s="732"/>
      <c r="DO154" s="732"/>
      <c r="DP154" s="732"/>
      <c r="DQ154" s="732"/>
      <c r="DR154" s="732"/>
      <c r="DS154" s="732"/>
      <c r="DT154" s="732"/>
      <c r="DU154" s="732"/>
      <c r="DV154" s="732"/>
      <c r="DW154" s="732"/>
      <c r="DX154" s="732"/>
      <c r="DY154" s="732"/>
      <c r="DZ154" s="732"/>
      <c r="EA154" s="732"/>
      <c r="EB154" s="732"/>
      <c r="EC154" s="732"/>
      <c r="ED154" s="732"/>
      <c r="EE154" s="732"/>
      <c r="EF154" s="732"/>
      <c r="EG154" s="732"/>
      <c r="EH154" s="732"/>
      <c r="EI154" s="732"/>
      <c r="EJ154" s="732"/>
      <c r="EK154" s="732"/>
      <c r="EL154" s="732"/>
      <c r="EM154" s="732"/>
      <c r="EN154" s="732"/>
      <c r="EO154" s="732"/>
      <c r="EP154" s="732"/>
      <c r="EQ154" s="732"/>
      <c r="ER154" s="732"/>
      <c r="ES154" s="732"/>
      <c r="ET154" s="732"/>
      <c r="EU154" s="732"/>
      <c r="EV154" s="732"/>
      <c r="EW154" s="732"/>
      <c r="EX154" s="732"/>
      <c r="EY154" s="732"/>
      <c r="EZ154" s="732"/>
      <c r="FA154" s="732"/>
      <c r="FB154" s="732"/>
      <c r="FC154" s="732"/>
      <c r="FD154" s="732"/>
      <c r="FE154" s="732"/>
      <c r="FF154" s="732"/>
      <c r="FG154" s="732"/>
      <c r="FH154" s="732"/>
      <c r="FI154" s="732"/>
      <c r="FJ154" s="732"/>
      <c r="FK154" s="732"/>
      <c r="FL154" s="732"/>
      <c r="FM154" s="732"/>
      <c r="FN154" s="732"/>
      <c r="FO154" s="732"/>
      <c r="FP154" s="732"/>
      <c r="FQ154" s="732"/>
      <c r="FR154" s="732"/>
      <c r="FS154" s="732"/>
      <c r="FT154" s="732"/>
      <c r="FU154" s="732"/>
      <c r="FV154" s="732"/>
      <c r="FW154" s="732"/>
      <c r="FX154" s="732"/>
      <c r="FY154" s="732"/>
      <c r="FZ154" s="732"/>
      <c r="GA154" s="732"/>
      <c r="GB154" s="732"/>
      <c r="GC154" s="732"/>
      <c r="GD154" s="732"/>
      <c r="GE154" s="732"/>
      <c r="GF154" s="732"/>
      <c r="GG154" s="732"/>
      <c r="GH154" s="732"/>
      <c r="GI154" s="732"/>
      <c r="GJ154" s="732"/>
      <c r="GK154" s="732"/>
      <c r="GL154" s="732"/>
      <c r="GM154" s="732"/>
      <c r="GN154" s="732"/>
      <c r="GO154" s="732"/>
      <c r="GP154" s="732"/>
      <c r="GQ154" s="732"/>
      <c r="GR154" s="732"/>
      <c r="GS154" s="732"/>
      <c r="GT154" s="732"/>
      <c r="GU154" s="732"/>
      <c r="GV154" s="732"/>
      <c r="GW154" s="732"/>
      <c r="GX154" s="732"/>
      <c r="GY154" s="732"/>
      <c r="GZ154" s="732"/>
      <c r="HA154" s="732"/>
      <c r="HB154" s="732"/>
      <c r="HC154" s="732"/>
      <c r="HD154" s="732"/>
      <c r="HE154" s="732"/>
      <c r="HF154" s="732"/>
      <c r="HG154" s="732"/>
      <c r="HH154" s="732"/>
      <c r="HI154" s="732"/>
      <c r="HJ154" s="732"/>
      <c r="HK154" s="732"/>
      <c r="HL154" s="732"/>
      <c r="HM154" s="732"/>
      <c r="HN154" s="732"/>
      <c r="HO154" s="732"/>
      <c r="HP154" s="732"/>
      <c r="HQ154" s="732"/>
      <c r="HR154" s="732"/>
      <c r="HS154" s="732"/>
      <c r="HT154" s="732"/>
      <c r="HU154" s="732"/>
      <c r="HV154" s="732"/>
      <c r="HW154" s="732"/>
      <c r="HX154" s="732"/>
      <c r="HY154" s="732"/>
      <c r="HZ154" s="732"/>
      <c r="IA154" s="732"/>
      <c r="IB154" s="732"/>
      <c r="IC154" s="732"/>
      <c r="ID154" s="732"/>
      <c r="IE154" s="732"/>
      <c r="IF154" s="732"/>
      <c r="IG154" s="732"/>
      <c r="IH154" s="732"/>
      <c r="II154" s="732"/>
      <c r="IJ154" s="732"/>
      <c r="IK154" s="732"/>
      <c r="IL154" s="732"/>
      <c r="IM154" s="732"/>
      <c r="IN154" s="732"/>
      <c r="IO154" s="732"/>
      <c r="IP154" s="732"/>
      <c r="IQ154" s="732"/>
      <c r="IR154" s="732"/>
      <c r="IS154" s="732"/>
    </row>
    <row r="155" s="563" customFormat="1" ht="15" spans="1:253">
      <c r="A155" s="719" t="s">
        <v>232</v>
      </c>
      <c r="B155" s="657" t="s">
        <v>253</v>
      </c>
      <c r="C155" s="698" t="s">
        <v>234</v>
      </c>
      <c r="D155" s="716" t="s">
        <v>23</v>
      </c>
      <c r="E155" s="720">
        <f>'PB VI - Memorial'!G192</f>
        <v>2.57</v>
      </c>
      <c r="F155" s="694">
        <f>F146</f>
        <v>14.16</v>
      </c>
      <c r="G155" s="694">
        <f>ROUND(E155*F155,2)</f>
        <v>36.39</v>
      </c>
      <c r="H155" s="711"/>
      <c r="I155" s="711"/>
      <c r="J155" s="711"/>
      <c r="K155" s="711"/>
      <c r="L155" s="711"/>
      <c r="M155" s="695">
        <f>$F$432</f>
        <v>997182.95</v>
      </c>
      <c r="N155" s="729"/>
      <c r="O155" s="729"/>
      <c r="P155" s="729"/>
      <c r="Q155" s="729"/>
      <c r="R155" s="729"/>
      <c r="S155" s="729"/>
      <c r="T155" s="729"/>
      <c r="U155" s="729"/>
      <c r="V155" s="729"/>
      <c r="W155" s="729"/>
      <c r="X155" s="729"/>
      <c r="Y155" s="729"/>
      <c r="Z155" s="729"/>
      <c r="AA155" s="729"/>
      <c r="AB155" s="729"/>
      <c r="AC155" s="729"/>
      <c r="AD155" s="729"/>
      <c r="AE155" s="729"/>
      <c r="AF155" s="729"/>
      <c r="AG155" s="729"/>
      <c r="AH155" s="729"/>
      <c r="AI155" s="729"/>
      <c r="AJ155" s="729"/>
      <c r="AK155" s="729"/>
      <c r="AL155" s="729"/>
      <c r="AM155" s="729"/>
      <c r="AN155" s="729"/>
      <c r="AO155" s="729"/>
      <c r="AP155" s="729"/>
      <c r="AQ155" s="729"/>
      <c r="AR155" s="729"/>
      <c r="AS155" s="729"/>
      <c r="AT155" s="729"/>
      <c r="AU155" s="729"/>
      <c r="AV155" s="729"/>
      <c r="AW155" s="729"/>
      <c r="AX155" s="729"/>
      <c r="AY155" s="729"/>
      <c r="AZ155" s="729"/>
      <c r="BA155" s="729"/>
      <c r="BB155" s="729"/>
      <c r="BC155" s="729"/>
      <c r="BD155" s="729"/>
      <c r="BE155" s="729"/>
      <c r="BF155" s="729"/>
      <c r="BG155" s="729"/>
      <c r="BH155" s="729"/>
      <c r="BI155" s="729"/>
      <c r="BJ155" s="729"/>
      <c r="BK155" s="729"/>
      <c r="BL155" s="729"/>
      <c r="BM155" s="729"/>
      <c r="BN155" s="729"/>
      <c r="BO155" s="729"/>
      <c r="BP155" s="729"/>
      <c r="BQ155" s="729"/>
      <c r="BR155" s="729"/>
      <c r="BS155" s="729"/>
      <c r="BT155" s="729"/>
      <c r="BU155" s="729"/>
      <c r="BV155" s="729"/>
      <c r="BW155" s="732"/>
      <c r="BX155" s="732"/>
      <c r="BY155" s="732"/>
      <c r="BZ155" s="732"/>
      <c r="CA155" s="732"/>
      <c r="CB155" s="732"/>
      <c r="CC155" s="732"/>
      <c r="CD155" s="732"/>
      <c r="CE155" s="732"/>
      <c r="CF155" s="732"/>
      <c r="CG155" s="732"/>
      <c r="CH155" s="732"/>
      <c r="CI155" s="732"/>
      <c r="CJ155" s="732"/>
      <c r="CK155" s="732"/>
      <c r="CL155" s="732"/>
      <c r="CM155" s="732"/>
      <c r="CN155" s="732"/>
      <c r="CO155" s="732"/>
      <c r="CP155" s="732"/>
      <c r="CQ155" s="732"/>
      <c r="CR155" s="732"/>
      <c r="CS155" s="732"/>
      <c r="CT155" s="732"/>
      <c r="CU155" s="732"/>
      <c r="CV155" s="732"/>
      <c r="CW155" s="732"/>
      <c r="CX155" s="732"/>
      <c r="CY155" s="732"/>
      <c r="CZ155" s="732"/>
      <c r="DA155" s="732"/>
      <c r="DB155" s="732"/>
      <c r="DC155" s="732"/>
      <c r="DD155" s="732"/>
      <c r="DE155" s="732"/>
      <c r="DF155" s="732"/>
      <c r="DG155" s="732"/>
      <c r="DH155" s="732"/>
      <c r="DI155" s="732"/>
      <c r="DJ155" s="732"/>
      <c r="DK155" s="732"/>
      <c r="DL155" s="732"/>
      <c r="DM155" s="732"/>
      <c r="DN155" s="732"/>
      <c r="DO155" s="732"/>
      <c r="DP155" s="732"/>
      <c r="DQ155" s="732"/>
      <c r="DR155" s="732"/>
      <c r="DS155" s="732"/>
      <c r="DT155" s="732"/>
      <c r="DU155" s="732"/>
      <c r="DV155" s="732"/>
      <c r="DW155" s="732"/>
      <c r="DX155" s="732"/>
      <c r="DY155" s="732"/>
      <c r="DZ155" s="732"/>
      <c r="EA155" s="732"/>
      <c r="EB155" s="732"/>
      <c r="EC155" s="732"/>
      <c r="ED155" s="732"/>
      <c r="EE155" s="732"/>
      <c r="EF155" s="732"/>
      <c r="EG155" s="732"/>
      <c r="EH155" s="732"/>
      <c r="EI155" s="732"/>
      <c r="EJ155" s="732"/>
      <c r="EK155" s="732"/>
      <c r="EL155" s="732"/>
      <c r="EM155" s="732"/>
      <c r="EN155" s="732"/>
      <c r="EO155" s="732"/>
      <c r="EP155" s="732"/>
      <c r="EQ155" s="732"/>
      <c r="ER155" s="732"/>
      <c r="ES155" s="732"/>
      <c r="ET155" s="732"/>
      <c r="EU155" s="732"/>
      <c r="EV155" s="732"/>
      <c r="EW155" s="732"/>
      <c r="EX155" s="732"/>
      <c r="EY155" s="732"/>
      <c r="EZ155" s="732"/>
      <c r="FA155" s="732"/>
      <c r="FB155" s="732"/>
      <c r="FC155" s="732"/>
      <c r="FD155" s="732"/>
      <c r="FE155" s="732"/>
      <c r="FF155" s="732"/>
      <c r="FG155" s="732"/>
      <c r="FH155" s="732"/>
      <c r="FI155" s="732"/>
      <c r="FJ155" s="732"/>
      <c r="FK155" s="732"/>
      <c r="FL155" s="732"/>
      <c r="FM155" s="732"/>
      <c r="FN155" s="732"/>
      <c r="FO155" s="732"/>
      <c r="FP155" s="732"/>
      <c r="FQ155" s="732"/>
      <c r="FR155" s="732"/>
      <c r="FS155" s="732"/>
      <c r="FT155" s="732"/>
      <c r="FU155" s="732"/>
      <c r="FV155" s="732"/>
      <c r="FW155" s="732"/>
      <c r="FX155" s="732"/>
      <c r="FY155" s="732"/>
      <c r="FZ155" s="732"/>
      <c r="GA155" s="732"/>
      <c r="GB155" s="732"/>
      <c r="GC155" s="732"/>
      <c r="GD155" s="732"/>
      <c r="GE155" s="732"/>
      <c r="GF155" s="732"/>
      <c r="GG155" s="732"/>
      <c r="GH155" s="732"/>
      <c r="GI155" s="732"/>
      <c r="GJ155" s="732"/>
      <c r="GK155" s="732"/>
      <c r="GL155" s="732"/>
      <c r="GM155" s="732"/>
      <c r="GN155" s="732"/>
      <c r="GO155" s="732"/>
      <c r="GP155" s="732"/>
      <c r="GQ155" s="732"/>
      <c r="GR155" s="732"/>
      <c r="GS155" s="732"/>
      <c r="GT155" s="732"/>
      <c r="GU155" s="732"/>
      <c r="GV155" s="732"/>
      <c r="GW155" s="732"/>
      <c r="GX155" s="732"/>
      <c r="GY155" s="732"/>
      <c r="GZ155" s="732"/>
      <c r="HA155" s="732"/>
      <c r="HB155" s="732"/>
      <c r="HC155" s="732"/>
      <c r="HD155" s="732"/>
      <c r="HE155" s="732"/>
      <c r="HF155" s="732"/>
      <c r="HG155" s="732"/>
      <c r="HH155" s="732"/>
      <c r="HI155" s="732"/>
      <c r="HJ155" s="732"/>
      <c r="HK155" s="732"/>
      <c r="HL155" s="732"/>
      <c r="HM155" s="732"/>
      <c r="HN155" s="732"/>
      <c r="HO155" s="732"/>
      <c r="HP155" s="732"/>
      <c r="HQ155" s="732"/>
      <c r="HR155" s="732"/>
      <c r="HS155" s="732"/>
      <c r="HT155" s="732"/>
      <c r="HU155" s="732"/>
      <c r="HV155" s="732"/>
      <c r="HW155" s="732"/>
      <c r="HX155" s="732"/>
      <c r="HY155" s="732"/>
      <c r="HZ155" s="732"/>
      <c r="IA155" s="732"/>
      <c r="IB155" s="732"/>
      <c r="IC155" s="732"/>
      <c r="ID155" s="732"/>
      <c r="IE155" s="732"/>
      <c r="IF155" s="732"/>
      <c r="IG155" s="732"/>
      <c r="IH155" s="732"/>
      <c r="II155" s="732"/>
      <c r="IJ155" s="732"/>
      <c r="IK155" s="732"/>
      <c r="IL155" s="732"/>
      <c r="IM155" s="732"/>
      <c r="IN155" s="732"/>
      <c r="IO155" s="732"/>
      <c r="IP155" s="732"/>
      <c r="IQ155" s="732"/>
      <c r="IR155" s="732"/>
      <c r="IS155" s="732"/>
    </row>
    <row r="156" s="563" customFormat="1" ht="22.5" spans="1:253">
      <c r="A156" s="697" t="str">
        <f>'PB VIII - Composições Auxilia'!A20</f>
        <v>COMP. 03 - DPE</v>
      </c>
      <c r="B156" s="657" t="s">
        <v>254</v>
      </c>
      <c r="C156" s="698" t="s">
        <v>236</v>
      </c>
      <c r="D156" s="716" t="s">
        <v>23</v>
      </c>
      <c r="E156" s="720">
        <f>'PB VI - Memorial'!G193</f>
        <v>2.57</v>
      </c>
      <c r="F156" s="694">
        <f>F147</f>
        <v>22.46</v>
      </c>
      <c r="G156" s="694">
        <f>ROUND(E156*F156,2)</f>
        <v>57.72</v>
      </c>
      <c r="H156" s="711"/>
      <c r="I156" s="711"/>
      <c r="J156" s="711"/>
      <c r="K156" s="711"/>
      <c r="L156" s="711"/>
      <c r="M156" s="695">
        <f t="shared" ref="M156:M196" si="24">$F$432</f>
        <v>997182.95</v>
      </c>
      <c r="N156" s="729"/>
      <c r="O156" s="729"/>
      <c r="P156" s="729"/>
      <c r="Q156" s="729"/>
      <c r="R156" s="729"/>
      <c r="S156" s="729"/>
      <c r="T156" s="729"/>
      <c r="U156" s="729"/>
      <c r="V156" s="729"/>
      <c r="W156" s="729"/>
      <c r="X156" s="729"/>
      <c r="Y156" s="729"/>
      <c r="Z156" s="729"/>
      <c r="AA156" s="729"/>
      <c r="AB156" s="729"/>
      <c r="AC156" s="729"/>
      <c r="AD156" s="729"/>
      <c r="AE156" s="729"/>
      <c r="AF156" s="729"/>
      <c r="AG156" s="729"/>
      <c r="AH156" s="729"/>
      <c r="AI156" s="729"/>
      <c r="AJ156" s="729"/>
      <c r="AK156" s="729"/>
      <c r="AL156" s="729"/>
      <c r="AM156" s="729"/>
      <c r="AN156" s="729"/>
      <c r="AO156" s="729"/>
      <c r="AP156" s="729"/>
      <c r="AQ156" s="729"/>
      <c r="AR156" s="729"/>
      <c r="AS156" s="729"/>
      <c r="AT156" s="729"/>
      <c r="AU156" s="729"/>
      <c r="AV156" s="729"/>
      <c r="AW156" s="729"/>
      <c r="AX156" s="729"/>
      <c r="AY156" s="729"/>
      <c r="AZ156" s="729"/>
      <c r="BA156" s="729"/>
      <c r="BB156" s="729"/>
      <c r="BC156" s="729"/>
      <c r="BD156" s="729"/>
      <c r="BE156" s="729"/>
      <c r="BF156" s="729"/>
      <c r="BG156" s="729"/>
      <c r="BH156" s="729"/>
      <c r="BI156" s="729"/>
      <c r="BJ156" s="729"/>
      <c r="BK156" s="729"/>
      <c r="BL156" s="729"/>
      <c r="BM156" s="729"/>
      <c r="BN156" s="729"/>
      <c r="BO156" s="729"/>
      <c r="BP156" s="729"/>
      <c r="BQ156" s="729"/>
      <c r="BR156" s="729"/>
      <c r="BS156" s="729"/>
      <c r="BT156" s="729"/>
      <c r="BU156" s="729"/>
      <c r="BV156" s="729"/>
      <c r="BW156" s="732"/>
      <c r="BX156" s="732"/>
      <c r="BY156" s="732"/>
      <c r="BZ156" s="732"/>
      <c r="CA156" s="732"/>
      <c r="CB156" s="732"/>
      <c r="CC156" s="732"/>
      <c r="CD156" s="732"/>
      <c r="CE156" s="732"/>
      <c r="CF156" s="732"/>
      <c r="CG156" s="732"/>
      <c r="CH156" s="732"/>
      <c r="CI156" s="732"/>
      <c r="CJ156" s="732"/>
      <c r="CK156" s="732"/>
      <c r="CL156" s="732"/>
      <c r="CM156" s="732"/>
      <c r="CN156" s="732"/>
      <c r="CO156" s="732"/>
      <c r="CP156" s="732"/>
      <c r="CQ156" s="732"/>
      <c r="CR156" s="732"/>
      <c r="CS156" s="732"/>
      <c r="CT156" s="732"/>
      <c r="CU156" s="732"/>
      <c r="CV156" s="732"/>
      <c r="CW156" s="732"/>
      <c r="CX156" s="732"/>
      <c r="CY156" s="732"/>
      <c r="CZ156" s="732"/>
      <c r="DA156" s="732"/>
      <c r="DB156" s="732"/>
      <c r="DC156" s="732"/>
      <c r="DD156" s="732"/>
      <c r="DE156" s="732"/>
      <c r="DF156" s="732"/>
      <c r="DG156" s="732"/>
      <c r="DH156" s="732"/>
      <c r="DI156" s="732"/>
      <c r="DJ156" s="732"/>
      <c r="DK156" s="732"/>
      <c r="DL156" s="732"/>
      <c r="DM156" s="732"/>
      <c r="DN156" s="732"/>
      <c r="DO156" s="732"/>
      <c r="DP156" s="732"/>
      <c r="DQ156" s="732"/>
      <c r="DR156" s="732"/>
      <c r="DS156" s="732"/>
      <c r="DT156" s="732"/>
      <c r="DU156" s="732"/>
      <c r="DV156" s="732"/>
      <c r="DW156" s="732"/>
      <c r="DX156" s="732"/>
      <c r="DY156" s="732"/>
      <c r="DZ156" s="732"/>
      <c r="EA156" s="732"/>
      <c r="EB156" s="732"/>
      <c r="EC156" s="732"/>
      <c r="ED156" s="732"/>
      <c r="EE156" s="732"/>
      <c r="EF156" s="732"/>
      <c r="EG156" s="732"/>
      <c r="EH156" s="732"/>
      <c r="EI156" s="732"/>
      <c r="EJ156" s="732"/>
      <c r="EK156" s="732"/>
      <c r="EL156" s="732"/>
      <c r="EM156" s="732"/>
      <c r="EN156" s="732"/>
      <c r="EO156" s="732"/>
      <c r="EP156" s="732"/>
      <c r="EQ156" s="732"/>
      <c r="ER156" s="732"/>
      <c r="ES156" s="732"/>
      <c r="ET156" s="732"/>
      <c r="EU156" s="732"/>
      <c r="EV156" s="732"/>
      <c r="EW156" s="732"/>
      <c r="EX156" s="732"/>
      <c r="EY156" s="732"/>
      <c r="EZ156" s="732"/>
      <c r="FA156" s="732"/>
      <c r="FB156" s="732"/>
      <c r="FC156" s="732"/>
      <c r="FD156" s="732"/>
      <c r="FE156" s="732"/>
      <c r="FF156" s="732"/>
      <c r="FG156" s="732"/>
      <c r="FH156" s="732"/>
      <c r="FI156" s="732"/>
      <c r="FJ156" s="732"/>
      <c r="FK156" s="732"/>
      <c r="FL156" s="732"/>
      <c r="FM156" s="732"/>
      <c r="FN156" s="732"/>
      <c r="FO156" s="732"/>
      <c r="FP156" s="732"/>
      <c r="FQ156" s="732"/>
      <c r="FR156" s="732"/>
      <c r="FS156" s="732"/>
      <c r="FT156" s="732"/>
      <c r="FU156" s="732"/>
      <c r="FV156" s="732"/>
      <c r="FW156" s="732"/>
      <c r="FX156" s="732"/>
      <c r="FY156" s="732"/>
      <c r="FZ156" s="732"/>
      <c r="GA156" s="732"/>
      <c r="GB156" s="732"/>
      <c r="GC156" s="732"/>
      <c r="GD156" s="732"/>
      <c r="GE156" s="732"/>
      <c r="GF156" s="732"/>
      <c r="GG156" s="732"/>
      <c r="GH156" s="732"/>
      <c r="GI156" s="732"/>
      <c r="GJ156" s="732"/>
      <c r="GK156" s="732"/>
      <c r="GL156" s="732"/>
      <c r="GM156" s="732"/>
      <c r="GN156" s="732"/>
      <c r="GO156" s="732"/>
      <c r="GP156" s="732"/>
      <c r="GQ156" s="732"/>
      <c r="GR156" s="732"/>
      <c r="GS156" s="732"/>
      <c r="GT156" s="732"/>
      <c r="GU156" s="732"/>
      <c r="GV156" s="732"/>
      <c r="GW156" s="732"/>
      <c r="GX156" s="732"/>
      <c r="GY156" s="732"/>
      <c r="GZ156" s="732"/>
      <c r="HA156" s="732"/>
      <c r="HB156" s="732"/>
      <c r="HC156" s="732"/>
      <c r="HD156" s="732"/>
      <c r="HE156" s="732"/>
      <c r="HF156" s="732"/>
      <c r="HG156" s="732"/>
      <c r="HH156" s="732"/>
      <c r="HI156" s="732"/>
      <c r="HJ156" s="732"/>
      <c r="HK156" s="732"/>
      <c r="HL156" s="732"/>
      <c r="HM156" s="732"/>
      <c r="HN156" s="732"/>
      <c r="HO156" s="732"/>
      <c r="HP156" s="732"/>
      <c r="HQ156" s="732"/>
      <c r="HR156" s="732"/>
      <c r="HS156" s="732"/>
      <c r="HT156" s="732"/>
      <c r="HU156" s="732"/>
      <c r="HV156" s="732"/>
      <c r="HW156" s="732"/>
      <c r="HX156" s="732"/>
      <c r="HY156" s="732"/>
      <c r="HZ156" s="732"/>
      <c r="IA156" s="732"/>
      <c r="IB156" s="732"/>
      <c r="IC156" s="732"/>
      <c r="ID156" s="732"/>
      <c r="IE156" s="732"/>
      <c r="IF156" s="732"/>
      <c r="IG156" s="732"/>
      <c r="IH156" s="732"/>
      <c r="II156" s="732"/>
      <c r="IJ156" s="732"/>
      <c r="IK156" s="732"/>
      <c r="IL156" s="732"/>
      <c r="IM156" s="732"/>
      <c r="IN156" s="732"/>
      <c r="IO156" s="732"/>
      <c r="IP156" s="732"/>
      <c r="IQ156" s="732"/>
      <c r="IR156" s="732"/>
      <c r="IS156" s="732"/>
    </row>
    <row r="157" s="563" customFormat="1" ht="45" spans="1:253">
      <c r="A157" s="719" t="s">
        <v>237</v>
      </c>
      <c r="B157" s="657" t="s">
        <v>255</v>
      </c>
      <c r="C157" s="739" t="s">
        <v>256</v>
      </c>
      <c r="D157" s="716" t="s">
        <v>23</v>
      </c>
      <c r="E157" s="733">
        <f>'PB VI - Memorial'!G194</f>
        <v>0.6864</v>
      </c>
      <c r="F157" s="694">
        <v>522.23</v>
      </c>
      <c r="G157" s="694">
        <f>ROUND(E157*F157,2)</f>
        <v>358.46</v>
      </c>
      <c r="H157" s="711"/>
      <c r="I157" s="711"/>
      <c r="J157" s="711"/>
      <c r="K157" s="711"/>
      <c r="L157" s="711"/>
      <c r="M157" s="695">
        <f t="shared" si="24"/>
        <v>997182.95</v>
      </c>
      <c r="N157" s="729"/>
      <c r="O157" s="729"/>
      <c r="P157" s="729"/>
      <c r="Q157" s="729"/>
      <c r="R157" s="729"/>
      <c r="S157" s="729"/>
      <c r="T157" s="729"/>
      <c r="U157" s="729"/>
      <c r="V157" s="729"/>
      <c r="W157" s="729"/>
      <c r="X157" s="729"/>
      <c r="Y157" s="729"/>
      <c r="Z157" s="729"/>
      <c r="AA157" s="729"/>
      <c r="AB157" s="729"/>
      <c r="AC157" s="729"/>
      <c r="AD157" s="729"/>
      <c r="AE157" s="729"/>
      <c r="AF157" s="729"/>
      <c r="AG157" s="729"/>
      <c r="AH157" s="729"/>
      <c r="AI157" s="729"/>
      <c r="AJ157" s="729"/>
      <c r="AK157" s="729"/>
      <c r="AL157" s="729"/>
      <c r="AM157" s="729"/>
      <c r="AN157" s="729"/>
      <c r="AO157" s="729"/>
      <c r="AP157" s="729"/>
      <c r="AQ157" s="729"/>
      <c r="AR157" s="729"/>
      <c r="AS157" s="729"/>
      <c r="AT157" s="729"/>
      <c r="AU157" s="729"/>
      <c r="AV157" s="729"/>
      <c r="AW157" s="729"/>
      <c r="AX157" s="729"/>
      <c r="AY157" s="729"/>
      <c r="AZ157" s="729"/>
      <c r="BA157" s="729"/>
      <c r="BB157" s="729"/>
      <c r="BC157" s="729"/>
      <c r="BD157" s="729"/>
      <c r="BE157" s="729"/>
      <c r="BF157" s="729"/>
      <c r="BG157" s="729"/>
      <c r="BH157" s="729"/>
      <c r="BI157" s="729"/>
      <c r="BJ157" s="729"/>
      <c r="BK157" s="729"/>
      <c r="BL157" s="729"/>
      <c r="BM157" s="729"/>
      <c r="BN157" s="729"/>
      <c r="BO157" s="729"/>
      <c r="BP157" s="729"/>
      <c r="BQ157" s="729"/>
      <c r="BR157" s="729"/>
      <c r="BS157" s="729"/>
      <c r="BT157" s="729"/>
      <c r="BU157" s="729"/>
      <c r="BV157" s="729"/>
      <c r="BW157" s="732"/>
      <c r="BX157" s="732"/>
      <c r="BY157" s="732"/>
      <c r="BZ157" s="732"/>
      <c r="CA157" s="732"/>
      <c r="CB157" s="732"/>
      <c r="CC157" s="732"/>
      <c r="CD157" s="732"/>
      <c r="CE157" s="732"/>
      <c r="CF157" s="732"/>
      <c r="CG157" s="732"/>
      <c r="CH157" s="732"/>
      <c r="CI157" s="732"/>
      <c r="CJ157" s="732"/>
      <c r="CK157" s="732"/>
      <c r="CL157" s="732"/>
      <c r="CM157" s="732"/>
      <c r="CN157" s="732"/>
      <c r="CO157" s="732"/>
      <c r="CP157" s="732"/>
      <c r="CQ157" s="732"/>
      <c r="CR157" s="732"/>
      <c r="CS157" s="732"/>
      <c r="CT157" s="732"/>
      <c r="CU157" s="732"/>
      <c r="CV157" s="732"/>
      <c r="CW157" s="732"/>
      <c r="CX157" s="732"/>
      <c r="CY157" s="732"/>
      <c r="CZ157" s="732"/>
      <c r="DA157" s="732"/>
      <c r="DB157" s="732"/>
      <c r="DC157" s="732"/>
      <c r="DD157" s="732"/>
      <c r="DE157" s="732"/>
      <c r="DF157" s="732"/>
      <c r="DG157" s="732"/>
      <c r="DH157" s="732"/>
      <c r="DI157" s="732"/>
      <c r="DJ157" s="732"/>
      <c r="DK157" s="732"/>
      <c r="DL157" s="732"/>
      <c r="DM157" s="732"/>
      <c r="DN157" s="732"/>
      <c r="DO157" s="732"/>
      <c r="DP157" s="732"/>
      <c r="DQ157" s="732"/>
      <c r="DR157" s="732"/>
      <c r="DS157" s="732"/>
      <c r="DT157" s="732"/>
      <c r="DU157" s="732"/>
      <c r="DV157" s="732"/>
      <c r="DW157" s="732"/>
      <c r="DX157" s="732"/>
      <c r="DY157" s="732"/>
      <c r="DZ157" s="732"/>
      <c r="EA157" s="732"/>
      <c r="EB157" s="732"/>
      <c r="EC157" s="732"/>
      <c r="ED157" s="732"/>
      <c r="EE157" s="732"/>
      <c r="EF157" s="732"/>
      <c r="EG157" s="732"/>
      <c r="EH157" s="732"/>
      <c r="EI157" s="732"/>
      <c r="EJ157" s="732"/>
      <c r="EK157" s="732"/>
      <c r="EL157" s="732"/>
      <c r="EM157" s="732"/>
      <c r="EN157" s="732"/>
      <c r="EO157" s="732"/>
      <c r="EP157" s="732"/>
      <c r="EQ157" s="732"/>
      <c r="ER157" s="732"/>
      <c r="ES157" s="732"/>
      <c r="ET157" s="732"/>
      <c r="EU157" s="732"/>
      <c r="EV157" s="732"/>
      <c r="EW157" s="732"/>
      <c r="EX157" s="732"/>
      <c r="EY157" s="732"/>
      <c r="EZ157" s="732"/>
      <c r="FA157" s="732"/>
      <c r="FB157" s="732"/>
      <c r="FC157" s="732"/>
      <c r="FD157" s="732"/>
      <c r="FE157" s="732"/>
      <c r="FF157" s="732"/>
      <c r="FG157" s="732"/>
      <c r="FH157" s="732"/>
      <c r="FI157" s="732"/>
      <c r="FJ157" s="732"/>
      <c r="FK157" s="732"/>
      <c r="FL157" s="732"/>
      <c r="FM157" s="732"/>
      <c r="FN157" s="732"/>
      <c r="FO157" s="732"/>
      <c r="FP157" s="732"/>
      <c r="FQ157" s="732"/>
      <c r="FR157" s="732"/>
      <c r="FS157" s="732"/>
      <c r="FT157" s="732"/>
      <c r="FU157" s="732"/>
      <c r="FV157" s="732"/>
      <c r="FW157" s="732"/>
      <c r="FX157" s="732"/>
      <c r="FY157" s="732"/>
      <c r="FZ157" s="732"/>
      <c r="GA157" s="732"/>
      <c r="GB157" s="732"/>
      <c r="GC157" s="732"/>
      <c r="GD157" s="732"/>
      <c r="GE157" s="732"/>
      <c r="GF157" s="732"/>
      <c r="GG157" s="732"/>
      <c r="GH157" s="732"/>
      <c r="GI157" s="732"/>
      <c r="GJ157" s="732"/>
      <c r="GK157" s="732"/>
      <c r="GL157" s="732"/>
      <c r="GM157" s="732"/>
      <c r="GN157" s="732"/>
      <c r="GO157" s="732"/>
      <c r="GP157" s="732"/>
      <c r="GQ157" s="732"/>
      <c r="GR157" s="732"/>
      <c r="GS157" s="732"/>
      <c r="GT157" s="732"/>
      <c r="GU157" s="732"/>
      <c r="GV157" s="732"/>
      <c r="GW157" s="732"/>
      <c r="GX157" s="732"/>
      <c r="GY157" s="732"/>
      <c r="GZ157" s="732"/>
      <c r="HA157" s="732"/>
      <c r="HB157" s="732"/>
      <c r="HC157" s="732"/>
      <c r="HD157" s="732"/>
      <c r="HE157" s="732"/>
      <c r="HF157" s="732"/>
      <c r="HG157" s="732"/>
      <c r="HH157" s="732"/>
      <c r="HI157" s="732"/>
      <c r="HJ157" s="732"/>
      <c r="HK157" s="732"/>
      <c r="HL157" s="732"/>
      <c r="HM157" s="732"/>
      <c r="HN157" s="732"/>
      <c r="HO157" s="732"/>
      <c r="HP157" s="732"/>
      <c r="HQ157" s="732"/>
      <c r="HR157" s="732"/>
      <c r="HS157" s="732"/>
      <c r="HT157" s="732"/>
      <c r="HU157" s="732"/>
      <c r="HV157" s="732"/>
      <c r="HW157" s="732"/>
      <c r="HX157" s="732"/>
      <c r="HY157" s="732"/>
      <c r="HZ157" s="732"/>
      <c r="IA157" s="732"/>
      <c r="IB157" s="732"/>
      <c r="IC157" s="732"/>
      <c r="ID157" s="732"/>
      <c r="IE157" s="732"/>
      <c r="IF157" s="732"/>
      <c r="IG157" s="732"/>
      <c r="IH157" s="732"/>
      <c r="II157" s="732"/>
      <c r="IJ157" s="732"/>
      <c r="IK157" s="732"/>
      <c r="IL157" s="732"/>
      <c r="IM157" s="732"/>
      <c r="IN157" s="732"/>
      <c r="IO157" s="732"/>
      <c r="IP157" s="732"/>
      <c r="IQ157" s="732"/>
      <c r="IR157" s="732"/>
      <c r="IS157" s="732"/>
    </row>
    <row r="158" s="563" customFormat="1" ht="22.5" spans="1:253">
      <c r="A158" s="719" t="s">
        <v>240</v>
      </c>
      <c r="B158" s="657" t="s">
        <v>257</v>
      </c>
      <c r="C158" s="698" t="s">
        <v>242</v>
      </c>
      <c r="D158" s="716" t="s">
        <v>17</v>
      </c>
      <c r="E158" s="733">
        <f>'PB VI - Memorial'!E195</f>
        <v>8.58</v>
      </c>
      <c r="F158" s="694">
        <v>39.1</v>
      </c>
      <c r="G158" s="694">
        <f>ROUND(E158*F158,2)</f>
        <v>335.48</v>
      </c>
      <c r="H158" s="711"/>
      <c r="I158" s="711"/>
      <c r="J158" s="711"/>
      <c r="K158" s="711"/>
      <c r="L158" s="711"/>
      <c r="M158" s="695">
        <f t="shared" si="24"/>
        <v>997182.95</v>
      </c>
      <c r="N158" s="729"/>
      <c r="O158" s="729"/>
      <c r="P158" s="729"/>
      <c r="Q158" s="729"/>
      <c r="R158" s="729"/>
      <c r="S158" s="729"/>
      <c r="T158" s="729"/>
      <c r="U158" s="729"/>
      <c r="V158" s="729"/>
      <c r="W158" s="729"/>
      <c r="X158" s="729"/>
      <c r="Y158" s="729"/>
      <c r="Z158" s="729"/>
      <c r="AA158" s="729"/>
      <c r="AB158" s="729"/>
      <c r="AC158" s="729"/>
      <c r="AD158" s="729"/>
      <c r="AE158" s="729"/>
      <c r="AF158" s="729"/>
      <c r="AG158" s="729"/>
      <c r="AH158" s="729"/>
      <c r="AI158" s="729"/>
      <c r="AJ158" s="729"/>
      <c r="AK158" s="729"/>
      <c r="AL158" s="729"/>
      <c r="AM158" s="729"/>
      <c r="AN158" s="729"/>
      <c r="AO158" s="729"/>
      <c r="AP158" s="729"/>
      <c r="AQ158" s="729"/>
      <c r="AR158" s="729"/>
      <c r="AS158" s="729"/>
      <c r="AT158" s="729"/>
      <c r="AU158" s="729"/>
      <c r="AV158" s="729"/>
      <c r="AW158" s="729"/>
      <c r="AX158" s="729"/>
      <c r="AY158" s="729"/>
      <c r="AZ158" s="729"/>
      <c r="BA158" s="729"/>
      <c r="BB158" s="729"/>
      <c r="BC158" s="729"/>
      <c r="BD158" s="729"/>
      <c r="BE158" s="729"/>
      <c r="BF158" s="729"/>
      <c r="BG158" s="729"/>
      <c r="BH158" s="729"/>
      <c r="BI158" s="729"/>
      <c r="BJ158" s="729"/>
      <c r="BK158" s="729"/>
      <c r="BL158" s="729"/>
      <c r="BM158" s="729"/>
      <c r="BN158" s="729"/>
      <c r="BO158" s="729"/>
      <c r="BP158" s="729"/>
      <c r="BQ158" s="729"/>
      <c r="BR158" s="729"/>
      <c r="BS158" s="729"/>
      <c r="BT158" s="729"/>
      <c r="BU158" s="729"/>
      <c r="BV158" s="729"/>
      <c r="BW158" s="732"/>
      <c r="BX158" s="732"/>
      <c r="BY158" s="732"/>
      <c r="BZ158" s="732"/>
      <c r="CA158" s="732"/>
      <c r="CB158" s="732"/>
      <c r="CC158" s="732"/>
      <c r="CD158" s="732"/>
      <c r="CE158" s="732"/>
      <c r="CF158" s="732"/>
      <c r="CG158" s="732"/>
      <c r="CH158" s="732"/>
      <c r="CI158" s="732"/>
      <c r="CJ158" s="732"/>
      <c r="CK158" s="732"/>
      <c r="CL158" s="732"/>
      <c r="CM158" s="732"/>
      <c r="CN158" s="732"/>
      <c r="CO158" s="732"/>
      <c r="CP158" s="732"/>
      <c r="CQ158" s="732"/>
      <c r="CR158" s="732"/>
      <c r="CS158" s="732"/>
      <c r="CT158" s="732"/>
      <c r="CU158" s="732"/>
      <c r="CV158" s="732"/>
      <c r="CW158" s="732"/>
      <c r="CX158" s="732"/>
      <c r="CY158" s="732"/>
      <c r="CZ158" s="732"/>
      <c r="DA158" s="732"/>
      <c r="DB158" s="732"/>
      <c r="DC158" s="732"/>
      <c r="DD158" s="732"/>
      <c r="DE158" s="732"/>
      <c r="DF158" s="732"/>
      <c r="DG158" s="732"/>
      <c r="DH158" s="732"/>
      <c r="DI158" s="732"/>
      <c r="DJ158" s="732"/>
      <c r="DK158" s="732"/>
      <c r="DL158" s="732"/>
      <c r="DM158" s="732"/>
      <c r="DN158" s="732"/>
      <c r="DO158" s="732"/>
      <c r="DP158" s="732"/>
      <c r="DQ158" s="732"/>
      <c r="DR158" s="732"/>
      <c r="DS158" s="732"/>
      <c r="DT158" s="732"/>
      <c r="DU158" s="732"/>
      <c r="DV158" s="732"/>
      <c r="DW158" s="732"/>
      <c r="DX158" s="732"/>
      <c r="DY158" s="732"/>
      <c r="DZ158" s="732"/>
      <c r="EA158" s="732"/>
      <c r="EB158" s="732"/>
      <c r="EC158" s="732"/>
      <c r="ED158" s="732"/>
      <c r="EE158" s="732"/>
      <c r="EF158" s="732"/>
      <c r="EG158" s="732"/>
      <c r="EH158" s="732"/>
      <c r="EI158" s="732"/>
      <c r="EJ158" s="732"/>
      <c r="EK158" s="732"/>
      <c r="EL158" s="732"/>
      <c r="EM158" s="732"/>
      <c r="EN158" s="732"/>
      <c r="EO158" s="732"/>
      <c r="EP158" s="732"/>
      <c r="EQ158" s="732"/>
      <c r="ER158" s="732"/>
      <c r="ES158" s="732"/>
      <c r="ET158" s="732"/>
      <c r="EU158" s="732"/>
      <c r="EV158" s="732"/>
      <c r="EW158" s="732"/>
      <c r="EX158" s="732"/>
      <c r="EY158" s="732"/>
      <c r="EZ158" s="732"/>
      <c r="FA158" s="732"/>
      <c r="FB158" s="732"/>
      <c r="FC158" s="732"/>
      <c r="FD158" s="732"/>
      <c r="FE158" s="732"/>
      <c r="FF158" s="732"/>
      <c r="FG158" s="732"/>
      <c r="FH158" s="732"/>
      <c r="FI158" s="732"/>
      <c r="FJ158" s="732"/>
      <c r="FK158" s="732"/>
      <c r="FL158" s="732"/>
      <c r="FM158" s="732"/>
      <c r="FN158" s="732"/>
      <c r="FO158" s="732"/>
      <c r="FP158" s="732"/>
      <c r="FQ158" s="732"/>
      <c r="FR158" s="732"/>
      <c r="FS158" s="732"/>
      <c r="FT158" s="732"/>
      <c r="FU158" s="732"/>
      <c r="FV158" s="732"/>
      <c r="FW158" s="732"/>
      <c r="FX158" s="732"/>
      <c r="FY158" s="732"/>
      <c r="FZ158" s="732"/>
      <c r="GA158" s="732"/>
      <c r="GB158" s="732"/>
      <c r="GC158" s="732"/>
      <c r="GD158" s="732"/>
      <c r="GE158" s="732"/>
      <c r="GF158" s="732"/>
      <c r="GG158" s="732"/>
      <c r="GH158" s="732"/>
      <c r="GI158" s="732"/>
      <c r="GJ158" s="732"/>
      <c r="GK158" s="732"/>
      <c r="GL158" s="732"/>
      <c r="GM158" s="732"/>
      <c r="GN158" s="732"/>
      <c r="GO158" s="732"/>
      <c r="GP158" s="732"/>
      <c r="GQ158" s="732"/>
      <c r="GR158" s="732"/>
      <c r="GS158" s="732"/>
      <c r="GT158" s="732"/>
      <c r="GU158" s="732"/>
      <c r="GV158" s="732"/>
      <c r="GW158" s="732"/>
      <c r="GX158" s="732"/>
      <c r="GY158" s="732"/>
      <c r="GZ158" s="732"/>
      <c r="HA158" s="732"/>
      <c r="HB158" s="732"/>
      <c r="HC158" s="732"/>
      <c r="HD158" s="732"/>
      <c r="HE158" s="732"/>
      <c r="HF158" s="732"/>
      <c r="HG158" s="732"/>
      <c r="HH158" s="732"/>
      <c r="HI158" s="732"/>
      <c r="HJ158" s="732"/>
      <c r="HK158" s="732"/>
      <c r="HL158" s="732"/>
      <c r="HM158" s="732"/>
      <c r="HN158" s="732"/>
      <c r="HO158" s="732"/>
      <c r="HP158" s="732"/>
      <c r="HQ158" s="732"/>
      <c r="HR158" s="732"/>
      <c r="HS158" s="732"/>
      <c r="HT158" s="732"/>
      <c r="HU158" s="732"/>
      <c r="HV158" s="732"/>
      <c r="HW158" s="732"/>
      <c r="HX158" s="732"/>
      <c r="HY158" s="732"/>
      <c r="HZ158" s="732"/>
      <c r="IA158" s="732"/>
      <c r="IB158" s="732"/>
      <c r="IC158" s="732"/>
      <c r="ID158" s="732"/>
      <c r="IE158" s="732"/>
      <c r="IF158" s="732"/>
      <c r="IG158" s="732"/>
      <c r="IH158" s="732"/>
      <c r="II158" s="732"/>
      <c r="IJ158" s="732"/>
      <c r="IK158" s="732"/>
      <c r="IL158" s="732"/>
      <c r="IM158" s="732"/>
      <c r="IN158" s="732"/>
      <c r="IO158" s="732"/>
      <c r="IP158" s="732"/>
      <c r="IQ158" s="732"/>
      <c r="IR158" s="732"/>
      <c r="IS158" s="732"/>
    </row>
    <row r="159" s="563" customFormat="1" ht="22.5" spans="1:253">
      <c r="A159" s="719" t="s">
        <v>246</v>
      </c>
      <c r="B159" s="657" t="s">
        <v>258</v>
      </c>
      <c r="C159" s="698" t="s">
        <v>259</v>
      </c>
      <c r="D159" s="716" t="s">
        <v>17</v>
      </c>
      <c r="E159" s="733">
        <f>'PB VI - Memorial'!E196</f>
        <v>8.58</v>
      </c>
      <c r="F159" s="694">
        <v>94.65</v>
      </c>
      <c r="G159" s="694">
        <f>ROUND(E159*F159,2)</f>
        <v>812.1</v>
      </c>
      <c r="H159" s="711"/>
      <c r="I159" s="711"/>
      <c r="J159" s="711"/>
      <c r="K159" s="711"/>
      <c r="L159" s="711"/>
      <c r="M159" s="695">
        <f t="shared" si="24"/>
        <v>997182.95</v>
      </c>
      <c r="N159" s="729"/>
      <c r="O159" s="729"/>
      <c r="P159" s="729"/>
      <c r="Q159" s="729"/>
      <c r="R159" s="729"/>
      <c r="S159" s="729"/>
      <c r="T159" s="729"/>
      <c r="U159" s="729"/>
      <c r="V159" s="729"/>
      <c r="W159" s="729"/>
      <c r="X159" s="729"/>
      <c r="Y159" s="729"/>
      <c r="Z159" s="729"/>
      <c r="AA159" s="729"/>
      <c r="AB159" s="729"/>
      <c r="AC159" s="729"/>
      <c r="AD159" s="729"/>
      <c r="AE159" s="729"/>
      <c r="AF159" s="729"/>
      <c r="AG159" s="729"/>
      <c r="AH159" s="729"/>
      <c r="AI159" s="729"/>
      <c r="AJ159" s="729"/>
      <c r="AK159" s="729"/>
      <c r="AL159" s="729"/>
      <c r="AM159" s="729"/>
      <c r="AN159" s="729"/>
      <c r="AO159" s="729"/>
      <c r="AP159" s="729"/>
      <c r="AQ159" s="729"/>
      <c r="AR159" s="729"/>
      <c r="AS159" s="729"/>
      <c r="AT159" s="729"/>
      <c r="AU159" s="729"/>
      <c r="AV159" s="729"/>
      <c r="AW159" s="729"/>
      <c r="AX159" s="729"/>
      <c r="AY159" s="729"/>
      <c r="AZ159" s="729"/>
      <c r="BA159" s="729"/>
      <c r="BB159" s="729"/>
      <c r="BC159" s="729"/>
      <c r="BD159" s="729"/>
      <c r="BE159" s="729"/>
      <c r="BF159" s="729"/>
      <c r="BG159" s="729"/>
      <c r="BH159" s="729"/>
      <c r="BI159" s="729"/>
      <c r="BJ159" s="729"/>
      <c r="BK159" s="729"/>
      <c r="BL159" s="729"/>
      <c r="BM159" s="729"/>
      <c r="BN159" s="729"/>
      <c r="BO159" s="729"/>
      <c r="BP159" s="729"/>
      <c r="BQ159" s="729"/>
      <c r="BR159" s="729"/>
      <c r="BS159" s="729"/>
      <c r="BT159" s="729"/>
      <c r="BU159" s="729"/>
      <c r="BV159" s="729"/>
      <c r="BW159" s="732"/>
      <c r="BX159" s="732"/>
      <c r="BY159" s="732"/>
      <c r="BZ159" s="732"/>
      <c r="CA159" s="732"/>
      <c r="CB159" s="732"/>
      <c r="CC159" s="732"/>
      <c r="CD159" s="732"/>
      <c r="CE159" s="732"/>
      <c r="CF159" s="732"/>
      <c r="CG159" s="732"/>
      <c r="CH159" s="732"/>
      <c r="CI159" s="732"/>
      <c r="CJ159" s="732"/>
      <c r="CK159" s="732"/>
      <c r="CL159" s="732"/>
      <c r="CM159" s="732"/>
      <c r="CN159" s="732"/>
      <c r="CO159" s="732"/>
      <c r="CP159" s="732"/>
      <c r="CQ159" s="732"/>
      <c r="CR159" s="732"/>
      <c r="CS159" s="732"/>
      <c r="CT159" s="732"/>
      <c r="CU159" s="732"/>
      <c r="CV159" s="732"/>
      <c r="CW159" s="732"/>
      <c r="CX159" s="732"/>
      <c r="CY159" s="732"/>
      <c r="CZ159" s="732"/>
      <c r="DA159" s="732"/>
      <c r="DB159" s="732"/>
      <c r="DC159" s="732"/>
      <c r="DD159" s="732"/>
      <c r="DE159" s="732"/>
      <c r="DF159" s="732"/>
      <c r="DG159" s="732"/>
      <c r="DH159" s="732"/>
      <c r="DI159" s="732"/>
      <c r="DJ159" s="732"/>
      <c r="DK159" s="732"/>
      <c r="DL159" s="732"/>
      <c r="DM159" s="732"/>
      <c r="DN159" s="732"/>
      <c r="DO159" s="732"/>
      <c r="DP159" s="732"/>
      <c r="DQ159" s="732"/>
      <c r="DR159" s="732"/>
      <c r="DS159" s="732"/>
      <c r="DT159" s="732"/>
      <c r="DU159" s="732"/>
      <c r="DV159" s="732"/>
      <c r="DW159" s="732"/>
      <c r="DX159" s="732"/>
      <c r="DY159" s="732"/>
      <c r="DZ159" s="732"/>
      <c r="EA159" s="732"/>
      <c r="EB159" s="732"/>
      <c r="EC159" s="732"/>
      <c r="ED159" s="732"/>
      <c r="EE159" s="732"/>
      <c r="EF159" s="732"/>
      <c r="EG159" s="732"/>
      <c r="EH159" s="732"/>
      <c r="EI159" s="732"/>
      <c r="EJ159" s="732"/>
      <c r="EK159" s="732"/>
      <c r="EL159" s="732"/>
      <c r="EM159" s="732"/>
      <c r="EN159" s="732"/>
      <c r="EO159" s="732"/>
      <c r="EP159" s="732"/>
      <c r="EQ159" s="732"/>
      <c r="ER159" s="732"/>
      <c r="ES159" s="732"/>
      <c r="ET159" s="732"/>
      <c r="EU159" s="732"/>
      <c r="EV159" s="732"/>
      <c r="EW159" s="732"/>
      <c r="EX159" s="732"/>
      <c r="EY159" s="732"/>
      <c r="EZ159" s="732"/>
      <c r="FA159" s="732"/>
      <c r="FB159" s="732"/>
      <c r="FC159" s="732"/>
      <c r="FD159" s="732"/>
      <c r="FE159" s="732"/>
      <c r="FF159" s="732"/>
      <c r="FG159" s="732"/>
      <c r="FH159" s="732"/>
      <c r="FI159" s="732"/>
      <c r="FJ159" s="732"/>
      <c r="FK159" s="732"/>
      <c r="FL159" s="732"/>
      <c r="FM159" s="732"/>
      <c r="FN159" s="732"/>
      <c r="FO159" s="732"/>
      <c r="FP159" s="732"/>
      <c r="FQ159" s="732"/>
      <c r="FR159" s="732"/>
      <c r="FS159" s="732"/>
      <c r="FT159" s="732"/>
      <c r="FU159" s="732"/>
      <c r="FV159" s="732"/>
      <c r="FW159" s="732"/>
      <c r="FX159" s="732"/>
      <c r="FY159" s="732"/>
      <c r="FZ159" s="732"/>
      <c r="GA159" s="732"/>
      <c r="GB159" s="732"/>
      <c r="GC159" s="732"/>
      <c r="GD159" s="732"/>
      <c r="GE159" s="732"/>
      <c r="GF159" s="732"/>
      <c r="GG159" s="732"/>
      <c r="GH159" s="732"/>
      <c r="GI159" s="732"/>
      <c r="GJ159" s="732"/>
      <c r="GK159" s="732"/>
      <c r="GL159" s="732"/>
      <c r="GM159" s="732"/>
      <c r="GN159" s="732"/>
      <c r="GO159" s="732"/>
      <c r="GP159" s="732"/>
      <c r="GQ159" s="732"/>
      <c r="GR159" s="732"/>
      <c r="GS159" s="732"/>
      <c r="GT159" s="732"/>
      <c r="GU159" s="732"/>
      <c r="GV159" s="732"/>
      <c r="GW159" s="732"/>
      <c r="GX159" s="732"/>
      <c r="GY159" s="732"/>
      <c r="GZ159" s="732"/>
      <c r="HA159" s="732"/>
      <c r="HB159" s="732"/>
      <c r="HC159" s="732"/>
      <c r="HD159" s="732"/>
      <c r="HE159" s="732"/>
      <c r="HF159" s="732"/>
      <c r="HG159" s="732"/>
      <c r="HH159" s="732"/>
      <c r="HI159" s="732"/>
      <c r="HJ159" s="732"/>
      <c r="HK159" s="732"/>
      <c r="HL159" s="732"/>
      <c r="HM159" s="732"/>
      <c r="HN159" s="732"/>
      <c r="HO159" s="732"/>
      <c r="HP159" s="732"/>
      <c r="HQ159" s="732"/>
      <c r="HR159" s="732"/>
      <c r="HS159" s="732"/>
      <c r="HT159" s="732"/>
      <c r="HU159" s="732"/>
      <c r="HV159" s="732"/>
      <c r="HW159" s="732"/>
      <c r="HX159" s="732"/>
      <c r="HY159" s="732"/>
      <c r="HZ159" s="732"/>
      <c r="IA159" s="732"/>
      <c r="IB159" s="732"/>
      <c r="IC159" s="732"/>
      <c r="ID159" s="732"/>
      <c r="IE159" s="732"/>
      <c r="IF159" s="732"/>
      <c r="IG159" s="732"/>
      <c r="IH159" s="732"/>
      <c r="II159" s="732"/>
      <c r="IJ159" s="732"/>
      <c r="IK159" s="732"/>
      <c r="IL159" s="732"/>
      <c r="IM159" s="732"/>
      <c r="IN159" s="732"/>
      <c r="IO159" s="732"/>
      <c r="IP159" s="732"/>
      <c r="IQ159" s="732"/>
      <c r="IR159" s="732"/>
      <c r="IS159" s="732"/>
    </row>
    <row r="160" s="563" customFormat="1" ht="15" spans="1:253">
      <c r="A160" s="740"/>
      <c r="B160" s="741"/>
      <c r="C160" s="742"/>
      <c r="D160" s="743"/>
      <c r="E160" s="744"/>
      <c r="F160" s="745"/>
      <c r="G160" s="745"/>
      <c r="H160" s="711"/>
      <c r="I160" s="711"/>
      <c r="J160" s="711"/>
      <c r="K160" s="711"/>
      <c r="L160" s="711"/>
      <c r="M160" s="695">
        <f t="shared" si="24"/>
        <v>997182.95</v>
      </c>
      <c r="N160" s="729"/>
      <c r="O160" s="729"/>
      <c r="P160" s="729"/>
      <c r="Q160" s="729"/>
      <c r="R160" s="729"/>
      <c r="S160" s="729"/>
      <c r="T160" s="729"/>
      <c r="U160" s="729"/>
      <c r="V160" s="729"/>
      <c r="W160" s="729"/>
      <c r="X160" s="729"/>
      <c r="Y160" s="729"/>
      <c r="Z160" s="729"/>
      <c r="AA160" s="729"/>
      <c r="AB160" s="729"/>
      <c r="AC160" s="729"/>
      <c r="AD160" s="729"/>
      <c r="AE160" s="729"/>
      <c r="AF160" s="729"/>
      <c r="AG160" s="729"/>
      <c r="AH160" s="729"/>
      <c r="AI160" s="729"/>
      <c r="AJ160" s="729"/>
      <c r="AK160" s="729"/>
      <c r="AL160" s="729"/>
      <c r="AM160" s="729"/>
      <c r="AN160" s="729"/>
      <c r="AO160" s="729"/>
      <c r="AP160" s="729"/>
      <c r="AQ160" s="729"/>
      <c r="AR160" s="729"/>
      <c r="AS160" s="729"/>
      <c r="AT160" s="729"/>
      <c r="AU160" s="729"/>
      <c r="AV160" s="729"/>
      <c r="AW160" s="729"/>
      <c r="AX160" s="729"/>
      <c r="AY160" s="729"/>
      <c r="AZ160" s="729"/>
      <c r="BA160" s="729"/>
      <c r="BB160" s="729"/>
      <c r="BC160" s="729"/>
      <c r="BD160" s="729"/>
      <c r="BE160" s="729"/>
      <c r="BF160" s="729"/>
      <c r="BG160" s="729"/>
      <c r="BH160" s="729"/>
      <c r="BI160" s="729"/>
      <c r="BJ160" s="729"/>
      <c r="BK160" s="729"/>
      <c r="BL160" s="729"/>
      <c r="BM160" s="729"/>
      <c r="BN160" s="729"/>
      <c r="BO160" s="729"/>
      <c r="BP160" s="729"/>
      <c r="BQ160" s="729"/>
      <c r="BR160" s="729"/>
      <c r="BS160" s="729"/>
      <c r="BT160" s="729"/>
      <c r="BU160" s="729"/>
      <c r="BV160" s="729"/>
      <c r="BW160" s="732"/>
      <c r="BX160" s="732"/>
      <c r="BY160" s="732"/>
      <c r="BZ160" s="732"/>
      <c r="CA160" s="732"/>
      <c r="CB160" s="732"/>
      <c r="CC160" s="732"/>
      <c r="CD160" s="732"/>
      <c r="CE160" s="732"/>
      <c r="CF160" s="732"/>
      <c r="CG160" s="732"/>
      <c r="CH160" s="732"/>
      <c r="CI160" s="732"/>
      <c r="CJ160" s="732"/>
      <c r="CK160" s="732"/>
      <c r="CL160" s="732"/>
      <c r="CM160" s="732"/>
      <c r="CN160" s="732"/>
      <c r="CO160" s="732"/>
      <c r="CP160" s="732"/>
      <c r="CQ160" s="732"/>
      <c r="CR160" s="732"/>
      <c r="CS160" s="732"/>
      <c r="CT160" s="732"/>
      <c r="CU160" s="732"/>
      <c r="CV160" s="732"/>
      <c r="CW160" s="732"/>
      <c r="CX160" s="732"/>
      <c r="CY160" s="732"/>
      <c r="CZ160" s="732"/>
      <c r="DA160" s="732"/>
      <c r="DB160" s="732"/>
      <c r="DC160" s="732"/>
      <c r="DD160" s="732"/>
      <c r="DE160" s="732"/>
      <c r="DF160" s="732"/>
      <c r="DG160" s="732"/>
      <c r="DH160" s="732"/>
      <c r="DI160" s="732"/>
      <c r="DJ160" s="732"/>
      <c r="DK160" s="732"/>
      <c r="DL160" s="732"/>
      <c r="DM160" s="732"/>
      <c r="DN160" s="732"/>
      <c r="DO160" s="732"/>
      <c r="DP160" s="732"/>
      <c r="DQ160" s="732"/>
      <c r="DR160" s="732"/>
      <c r="DS160" s="732"/>
      <c r="DT160" s="732"/>
      <c r="DU160" s="732"/>
      <c r="DV160" s="732"/>
      <c r="DW160" s="732"/>
      <c r="DX160" s="732"/>
      <c r="DY160" s="732"/>
      <c r="DZ160" s="732"/>
      <c r="EA160" s="732"/>
      <c r="EB160" s="732"/>
      <c r="EC160" s="732"/>
      <c r="ED160" s="732"/>
      <c r="EE160" s="732"/>
      <c r="EF160" s="732"/>
      <c r="EG160" s="732"/>
      <c r="EH160" s="732"/>
      <c r="EI160" s="732"/>
      <c r="EJ160" s="732"/>
      <c r="EK160" s="732"/>
      <c r="EL160" s="732"/>
      <c r="EM160" s="732"/>
      <c r="EN160" s="732"/>
      <c r="EO160" s="732"/>
      <c r="EP160" s="732"/>
      <c r="EQ160" s="732"/>
      <c r="ER160" s="732"/>
      <c r="ES160" s="732"/>
      <c r="ET160" s="732"/>
      <c r="EU160" s="732"/>
      <c r="EV160" s="732"/>
      <c r="EW160" s="732"/>
      <c r="EX160" s="732"/>
      <c r="EY160" s="732"/>
      <c r="EZ160" s="732"/>
      <c r="FA160" s="732"/>
      <c r="FB160" s="732"/>
      <c r="FC160" s="732"/>
      <c r="FD160" s="732"/>
      <c r="FE160" s="732"/>
      <c r="FF160" s="732"/>
      <c r="FG160" s="732"/>
      <c r="FH160" s="732"/>
      <c r="FI160" s="732"/>
      <c r="FJ160" s="732"/>
      <c r="FK160" s="732"/>
      <c r="FL160" s="732"/>
      <c r="FM160" s="732"/>
      <c r="FN160" s="732"/>
      <c r="FO160" s="732"/>
      <c r="FP160" s="732"/>
      <c r="FQ160" s="732"/>
      <c r="FR160" s="732"/>
      <c r="FS160" s="732"/>
      <c r="FT160" s="732"/>
      <c r="FU160" s="732"/>
      <c r="FV160" s="732"/>
      <c r="FW160" s="732"/>
      <c r="FX160" s="732"/>
      <c r="FY160" s="732"/>
      <c r="FZ160" s="732"/>
      <c r="GA160" s="732"/>
      <c r="GB160" s="732"/>
      <c r="GC160" s="732"/>
      <c r="GD160" s="732"/>
      <c r="GE160" s="732"/>
      <c r="GF160" s="732"/>
      <c r="GG160" s="732"/>
      <c r="GH160" s="732"/>
      <c r="GI160" s="732"/>
      <c r="GJ160" s="732"/>
      <c r="GK160" s="732"/>
      <c r="GL160" s="732"/>
      <c r="GM160" s="732"/>
      <c r="GN160" s="732"/>
      <c r="GO160" s="732"/>
      <c r="GP160" s="732"/>
      <c r="GQ160" s="732"/>
      <c r="GR160" s="732"/>
      <c r="GS160" s="732"/>
      <c r="GT160" s="732"/>
      <c r="GU160" s="732"/>
      <c r="GV160" s="732"/>
      <c r="GW160" s="732"/>
      <c r="GX160" s="732"/>
      <c r="GY160" s="732"/>
      <c r="GZ160" s="732"/>
      <c r="HA160" s="732"/>
      <c r="HB160" s="732"/>
      <c r="HC160" s="732"/>
      <c r="HD160" s="732"/>
      <c r="HE160" s="732"/>
      <c r="HF160" s="732"/>
      <c r="HG160" s="732"/>
      <c r="HH160" s="732"/>
      <c r="HI160" s="732"/>
      <c r="HJ160" s="732"/>
      <c r="HK160" s="732"/>
      <c r="HL160" s="732"/>
      <c r="HM160" s="732"/>
      <c r="HN160" s="732"/>
      <c r="HO160" s="732"/>
      <c r="HP160" s="732"/>
      <c r="HQ160" s="732"/>
      <c r="HR160" s="732"/>
      <c r="HS160" s="732"/>
      <c r="HT160" s="732"/>
      <c r="HU160" s="732"/>
      <c r="HV160" s="732"/>
      <c r="HW160" s="732"/>
      <c r="HX160" s="732"/>
      <c r="HY160" s="732"/>
      <c r="HZ160" s="732"/>
      <c r="IA160" s="732"/>
      <c r="IB160" s="732"/>
      <c r="IC160" s="732"/>
      <c r="ID160" s="732"/>
      <c r="IE160" s="732"/>
      <c r="IF160" s="732"/>
      <c r="IG160" s="732"/>
      <c r="IH160" s="732"/>
      <c r="II160" s="732"/>
      <c r="IJ160" s="732"/>
      <c r="IK160" s="732"/>
      <c r="IL160" s="732"/>
      <c r="IM160" s="732"/>
      <c r="IN160" s="732"/>
      <c r="IO160" s="732"/>
      <c r="IP160" s="732"/>
      <c r="IQ160" s="732"/>
      <c r="IR160" s="732"/>
      <c r="IS160" s="732"/>
    </row>
    <row r="161" s="625" customFormat="1" ht="12.75" spans="1:13">
      <c r="A161" s="647"/>
      <c r="B161" s="641">
        <v>6</v>
      </c>
      <c r="C161" s="646" t="s">
        <v>260</v>
      </c>
      <c r="D161" s="647"/>
      <c r="E161" s="674"/>
      <c r="F161" s="674"/>
      <c r="G161" s="649">
        <f>SUM(G162:G164)</f>
        <v>39097.65</v>
      </c>
      <c r="H161" s="644"/>
      <c r="I161" s="749"/>
      <c r="M161" s="695">
        <f t="shared" si="24"/>
        <v>997182.95</v>
      </c>
    </row>
    <row r="162" s="625" customFormat="1" ht="33.75" spans="1:13">
      <c r="A162" s="669">
        <v>89168</v>
      </c>
      <c r="B162" s="669" t="s">
        <v>261</v>
      </c>
      <c r="C162" s="692" t="s">
        <v>262</v>
      </c>
      <c r="D162" s="669" t="s">
        <v>17</v>
      </c>
      <c r="E162" s="432">
        <f>'PB VI - Memorial'!G233</f>
        <v>595.7025</v>
      </c>
      <c r="F162" s="432">
        <v>58.27</v>
      </c>
      <c r="G162" s="682">
        <f>ROUND(E162*F162,2)</f>
        <v>34711.58</v>
      </c>
      <c r="H162" s="654"/>
      <c r="M162" s="695">
        <f t="shared" si="24"/>
        <v>997182.95</v>
      </c>
    </row>
    <row r="163" s="625" customFormat="1" ht="12" spans="1:13">
      <c r="A163" s="669">
        <v>79627</v>
      </c>
      <c r="B163" s="669" t="s">
        <v>263</v>
      </c>
      <c r="C163" s="692" t="s">
        <v>264</v>
      </c>
      <c r="D163" s="669" t="s">
        <v>17</v>
      </c>
      <c r="E163" s="432">
        <f>'PB VI - Memorial'!G237</f>
        <v>6.87</v>
      </c>
      <c r="F163" s="432">
        <v>581.68</v>
      </c>
      <c r="G163" s="682">
        <f t="shared" ref="G163:G164" si="25">ROUND(E163*F163,2)</f>
        <v>3996.14</v>
      </c>
      <c r="H163" s="654"/>
      <c r="M163" s="695">
        <f t="shared" si="24"/>
        <v>997182.95</v>
      </c>
    </row>
    <row r="164" s="625" customFormat="1" ht="12" spans="1:13">
      <c r="A164" s="669">
        <v>93200</v>
      </c>
      <c r="B164" s="669" t="s">
        <v>265</v>
      </c>
      <c r="C164" s="692" t="s">
        <v>266</v>
      </c>
      <c r="D164" s="669" t="s">
        <v>95</v>
      </c>
      <c r="E164" s="432">
        <f>'PB VI - Memorial'!G240</f>
        <v>183.065</v>
      </c>
      <c r="F164" s="432">
        <v>2.13</v>
      </c>
      <c r="G164" s="682">
        <f t="shared" si="25"/>
        <v>389.93</v>
      </c>
      <c r="H164" s="654"/>
      <c r="M164" s="695">
        <f t="shared" si="24"/>
        <v>997182.95</v>
      </c>
    </row>
    <row r="165" s="625" customFormat="1" ht="12" spans="1:13">
      <c r="A165" s="692"/>
      <c r="B165" s="669"/>
      <c r="C165" s="692"/>
      <c r="D165" s="669"/>
      <c r="E165" s="675"/>
      <c r="F165" s="690"/>
      <c r="G165" s="693"/>
      <c r="H165" s="654"/>
      <c r="M165" s="695">
        <f t="shared" si="24"/>
        <v>997182.95</v>
      </c>
    </row>
    <row r="166" s="625" customFormat="1" ht="12.75" spans="1:13">
      <c r="A166" s="647"/>
      <c r="B166" s="641">
        <v>7</v>
      </c>
      <c r="C166" s="646" t="s">
        <v>267</v>
      </c>
      <c r="D166" s="647"/>
      <c r="E166" s="674"/>
      <c r="F166" s="674"/>
      <c r="G166" s="649">
        <f>SUM(G167:G171)</f>
        <v>44179.11</v>
      </c>
      <c r="H166" s="644"/>
      <c r="M166" s="695">
        <f t="shared" si="24"/>
        <v>997182.95</v>
      </c>
    </row>
    <row r="167" s="625" customFormat="1" ht="12" spans="1:13">
      <c r="A167" s="669">
        <v>87879</v>
      </c>
      <c r="B167" s="669" t="s">
        <v>268</v>
      </c>
      <c r="C167" s="692" t="s">
        <v>269</v>
      </c>
      <c r="D167" s="669" t="s">
        <v>17</v>
      </c>
      <c r="E167" s="432">
        <f>'PB VI - Memorial'!G256+'PB VI - Memorial'!G290</f>
        <v>1310.11</v>
      </c>
      <c r="F167" s="432">
        <v>3.05</v>
      </c>
      <c r="G167" s="693">
        <f t="shared" ref="G167:G170" si="26">ROUND(E167*F167,2)</f>
        <v>3995.84</v>
      </c>
      <c r="H167" s="654"/>
      <c r="M167" s="695">
        <f t="shared" si="24"/>
        <v>997182.95</v>
      </c>
    </row>
    <row r="168" s="625" customFormat="1" ht="33.75" spans="1:13">
      <c r="A168" s="669">
        <v>89173</v>
      </c>
      <c r="B168" s="669" t="s">
        <v>270</v>
      </c>
      <c r="C168" s="692" t="s">
        <v>271</v>
      </c>
      <c r="D168" s="669" t="s">
        <v>17</v>
      </c>
      <c r="E168" s="432">
        <f>'PB VI - Memorial'!G293</f>
        <v>1310.11</v>
      </c>
      <c r="F168" s="432">
        <v>25.24</v>
      </c>
      <c r="G168" s="693">
        <f t="shared" si="26"/>
        <v>33067.18</v>
      </c>
      <c r="H168" s="654"/>
      <c r="I168" s="750"/>
      <c r="M168" s="695">
        <f t="shared" si="24"/>
        <v>997182.95</v>
      </c>
    </row>
    <row r="169" s="625" customFormat="1" ht="12" spans="1:13">
      <c r="A169" s="651">
        <v>89170</v>
      </c>
      <c r="B169" s="669" t="s">
        <v>272</v>
      </c>
      <c r="C169" s="650" t="s">
        <v>273</v>
      </c>
      <c r="D169" s="651" t="s">
        <v>17</v>
      </c>
      <c r="E169" s="432">
        <f>'PB VI - Memorial'!G306</f>
        <v>116.99</v>
      </c>
      <c r="F169" s="432">
        <v>38.11</v>
      </c>
      <c r="G169" s="652">
        <f t="shared" si="26"/>
        <v>4458.49</v>
      </c>
      <c r="H169" s="654"/>
      <c r="M169" s="695">
        <f t="shared" si="24"/>
        <v>997182.95</v>
      </c>
    </row>
    <row r="170" s="625" customFormat="1" ht="12" spans="1:13">
      <c r="A170" s="669">
        <v>89170</v>
      </c>
      <c r="B170" s="669" t="s">
        <v>274</v>
      </c>
      <c r="C170" s="692" t="s">
        <v>275</v>
      </c>
      <c r="D170" s="669" t="s">
        <v>17</v>
      </c>
      <c r="E170" s="432">
        <f>'PB VI - Memorial'!G313</f>
        <v>69.735</v>
      </c>
      <c r="F170" s="432">
        <v>38.11</v>
      </c>
      <c r="G170" s="652">
        <f t="shared" si="26"/>
        <v>2657.6</v>
      </c>
      <c r="H170" s="654"/>
      <c r="M170" s="695">
        <f t="shared" si="24"/>
        <v>997182.95</v>
      </c>
    </row>
    <row r="171" s="625" customFormat="1" ht="12" spans="1:13">
      <c r="A171" s="651"/>
      <c r="B171" s="651"/>
      <c r="C171" s="650"/>
      <c r="D171" s="651"/>
      <c r="E171" s="432"/>
      <c r="F171" s="432"/>
      <c r="G171" s="652"/>
      <c r="H171" s="654"/>
      <c r="M171" s="695">
        <f t="shared" si="24"/>
        <v>997182.95</v>
      </c>
    </row>
    <row r="172" s="625" customFormat="1" ht="12.75" spans="1:13">
      <c r="A172" s="647"/>
      <c r="B172" s="641">
        <v>8</v>
      </c>
      <c r="C172" s="646" t="s">
        <v>276</v>
      </c>
      <c r="D172" s="647"/>
      <c r="E172" s="674"/>
      <c r="F172" s="674"/>
      <c r="G172" s="649">
        <f>SUM(G173:G175)</f>
        <v>23165.84</v>
      </c>
      <c r="H172" s="644"/>
      <c r="M172" s="695">
        <f t="shared" si="24"/>
        <v>997182.95</v>
      </c>
    </row>
    <row r="173" s="625" customFormat="1" ht="12" spans="1:13">
      <c r="A173" s="691" t="s">
        <v>100</v>
      </c>
      <c r="B173" s="669" t="s">
        <v>277</v>
      </c>
      <c r="C173" s="692" t="s">
        <v>102</v>
      </c>
      <c r="D173" s="669" t="s">
        <v>17</v>
      </c>
      <c r="E173" s="432">
        <f>'PB VI - Memorial'!G361+'PB VI - Memorial'!G335</f>
        <v>1147.392</v>
      </c>
      <c r="F173" s="432">
        <v>1.55</v>
      </c>
      <c r="G173" s="693">
        <f>ROUND(E173*F173,2)</f>
        <v>1778.46</v>
      </c>
      <c r="H173" s="654"/>
      <c r="M173" s="695">
        <f t="shared" si="24"/>
        <v>997182.95</v>
      </c>
    </row>
    <row r="174" s="625" customFormat="1" ht="12" spans="1:13">
      <c r="A174" s="691">
        <v>88497</v>
      </c>
      <c r="B174" s="669" t="s">
        <v>278</v>
      </c>
      <c r="C174" s="692" t="s">
        <v>279</v>
      </c>
      <c r="D174" s="669" t="s">
        <v>17</v>
      </c>
      <c r="E174" s="432">
        <f>'PB VI - Memorial'!G335+'PB VI - Memorial'!G361</f>
        <v>1147.392</v>
      </c>
      <c r="F174" s="432">
        <v>9.47</v>
      </c>
      <c r="G174" s="693">
        <f>ROUND(E174*F174,2)</f>
        <v>10865.8</v>
      </c>
      <c r="H174" s="654"/>
      <c r="M174" s="695">
        <f t="shared" si="24"/>
        <v>997182.95</v>
      </c>
    </row>
    <row r="175" s="625" customFormat="1" ht="22.5" spans="1:13">
      <c r="A175" s="691" t="s">
        <v>103</v>
      </c>
      <c r="B175" s="669" t="s">
        <v>280</v>
      </c>
      <c r="C175" s="692" t="s">
        <v>105</v>
      </c>
      <c r="D175" s="669" t="s">
        <v>17</v>
      </c>
      <c r="E175" s="432">
        <f>E174</f>
        <v>1147.392</v>
      </c>
      <c r="F175" s="432">
        <v>9.17</v>
      </c>
      <c r="G175" s="693">
        <f>ROUND(E175*F175,2)</f>
        <v>10521.58</v>
      </c>
      <c r="H175" s="654"/>
      <c r="M175" s="695">
        <f t="shared" si="24"/>
        <v>997182.95</v>
      </c>
    </row>
    <row r="176" s="625" customFormat="1" ht="12" spans="1:13">
      <c r="A176" s="669"/>
      <c r="B176" s="669"/>
      <c r="C176" s="692"/>
      <c r="D176" s="669"/>
      <c r="E176" s="432"/>
      <c r="F176" s="432"/>
      <c r="G176" s="693"/>
      <c r="H176" s="654"/>
      <c r="M176" s="695">
        <f t="shared" si="24"/>
        <v>997182.95</v>
      </c>
    </row>
    <row r="177" s="625" customFormat="1" ht="14.25" spans="1:13">
      <c r="A177" s="647"/>
      <c r="B177" s="641">
        <v>9</v>
      </c>
      <c r="C177" s="646" t="s">
        <v>281</v>
      </c>
      <c r="D177" s="647"/>
      <c r="E177" s="674"/>
      <c r="F177" s="674"/>
      <c r="G177" s="649">
        <f>SUM(G180:G197)</f>
        <v>36339.81</v>
      </c>
      <c r="H177" s="746"/>
      <c r="M177" s="695">
        <f t="shared" si="24"/>
        <v>997182.95</v>
      </c>
    </row>
    <row r="178" s="625" customFormat="1" ht="14.25" spans="1:13">
      <c r="A178" s="691"/>
      <c r="B178" s="651"/>
      <c r="C178" s="431"/>
      <c r="D178" s="651"/>
      <c r="E178" s="432"/>
      <c r="F178" s="653"/>
      <c r="G178" s="652"/>
      <c r="H178" s="746"/>
      <c r="M178" s="695"/>
    </row>
    <row r="179" s="625" customFormat="1" ht="12" spans="1:13">
      <c r="A179" s="692"/>
      <c r="B179" s="680" t="s">
        <v>12</v>
      </c>
      <c r="C179" s="747" t="s">
        <v>282</v>
      </c>
      <c r="D179" s="669"/>
      <c r="E179" s="675"/>
      <c r="F179" s="679"/>
      <c r="G179" s="693"/>
      <c r="H179" s="654"/>
      <c r="M179" s="695">
        <f t="shared" si="24"/>
        <v>997182.95</v>
      </c>
    </row>
    <row r="180" s="625" customFormat="1" ht="22.5" spans="1:13">
      <c r="A180" s="651">
        <v>91314</v>
      </c>
      <c r="B180" s="651" t="s">
        <v>283</v>
      </c>
      <c r="C180" s="431" t="s">
        <v>284</v>
      </c>
      <c r="D180" s="651" t="s">
        <v>20</v>
      </c>
      <c r="E180" s="432">
        <f>'PB VI - Memorial'!F365</f>
        <v>14</v>
      </c>
      <c r="F180" s="653">
        <v>579.3</v>
      </c>
      <c r="G180" s="652">
        <f t="shared" ref="G180:G187" si="27">ROUND(E180*F180,2)</f>
        <v>8110.2</v>
      </c>
      <c r="H180" s="654"/>
      <c r="M180" s="695">
        <f t="shared" si="24"/>
        <v>997182.95</v>
      </c>
    </row>
    <row r="181" s="625" customFormat="1" ht="22.5" spans="1:13">
      <c r="A181" s="651">
        <v>91315</v>
      </c>
      <c r="B181" s="651" t="s">
        <v>285</v>
      </c>
      <c r="C181" s="431" t="s">
        <v>286</v>
      </c>
      <c r="D181" s="651" t="s">
        <v>20</v>
      </c>
      <c r="E181" s="432">
        <f>'PB VI - Memorial'!F366</f>
        <v>1</v>
      </c>
      <c r="F181" s="653">
        <v>608.18</v>
      </c>
      <c r="G181" s="652">
        <f t="shared" si="27"/>
        <v>608.18</v>
      </c>
      <c r="H181" s="654"/>
      <c r="M181" s="695">
        <f t="shared" si="24"/>
        <v>997182.95</v>
      </c>
    </row>
    <row r="182" s="625" customFormat="1" ht="22.5" spans="1:13">
      <c r="A182" s="651" t="str">
        <f>'PB VIII - Composições Auxilia'!A26</f>
        <v>COMP. 04 - DPE</v>
      </c>
      <c r="B182" s="651" t="s">
        <v>287</v>
      </c>
      <c r="C182" s="431" t="s">
        <v>288</v>
      </c>
      <c r="D182" s="651" t="s">
        <v>20</v>
      </c>
      <c r="E182" s="432">
        <f>'PB VI - Memorial'!F367</f>
        <v>2</v>
      </c>
      <c r="F182" s="653">
        <f>'PB VIII - Composições Auxilia'!F29</f>
        <v>1158.6</v>
      </c>
      <c r="G182" s="652">
        <f t="shared" si="27"/>
        <v>2317.2</v>
      </c>
      <c r="H182" s="654"/>
      <c r="M182" s="695">
        <f t="shared" si="24"/>
        <v>997182.95</v>
      </c>
    </row>
    <row r="183" s="625" customFormat="1" ht="22.5" spans="1:13">
      <c r="A183" s="691" t="s">
        <v>289</v>
      </c>
      <c r="B183" s="651" t="s">
        <v>290</v>
      </c>
      <c r="C183" s="431" t="s">
        <v>291</v>
      </c>
      <c r="D183" s="651" t="s">
        <v>20</v>
      </c>
      <c r="E183" s="432">
        <f>'PB VI - Memorial'!F369</f>
        <v>1</v>
      </c>
      <c r="F183" s="653">
        <f>'PB VIII - Composições Auxilia'!F38</f>
        <v>2527.32</v>
      </c>
      <c r="G183" s="652">
        <f t="shared" si="27"/>
        <v>2527.32</v>
      </c>
      <c r="H183" s="654"/>
      <c r="M183" s="695">
        <f t="shared" si="24"/>
        <v>997182.95</v>
      </c>
    </row>
    <row r="184" s="625" customFormat="1" ht="12" spans="1:13">
      <c r="A184" s="691" t="s">
        <v>292</v>
      </c>
      <c r="B184" s="651" t="s">
        <v>293</v>
      </c>
      <c r="C184" s="431" t="s">
        <v>294</v>
      </c>
      <c r="D184" s="651" t="s">
        <v>17</v>
      </c>
      <c r="E184" s="432">
        <f>'PB VI - Memorial'!D368</f>
        <v>3.24</v>
      </c>
      <c r="F184" s="653">
        <v>793.83</v>
      </c>
      <c r="G184" s="652">
        <f t="shared" si="27"/>
        <v>2572.01</v>
      </c>
      <c r="H184" s="654"/>
      <c r="M184" s="695">
        <f t="shared" si="24"/>
        <v>997182.95</v>
      </c>
    </row>
    <row r="185" s="625" customFormat="1" ht="12" spans="1:13">
      <c r="A185" s="691" t="s">
        <v>295</v>
      </c>
      <c r="B185" s="651" t="s">
        <v>296</v>
      </c>
      <c r="C185" s="431" t="s">
        <v>297</v>
      </c>
      <c r="D185" s="651" t="s">
        <v>17</v>
      </c>
      <c r="E185" s="432">
        <f>'PB VI - Memorial'!D370</f>
        <v>2.94</v>
      </c>
      <c r="F185" s="653">
        <v>474.65</v>
      </c>
      <c r="G185" s="652">
        <f t="shared" si="27"/>
        <v>1395.47</v>
      </c>
      <c r="H185" s="654"/>
      <c r="M185" s="695">
        <f t="shared" si="24"/>
        <v>997182.95</v>
      </c>
    </row>
    <row r="186" s="625" customFormat="1" ht="12" spans="1:13">
      <c r="A186" s="691" t="s">
        <v>298</v>
      </c>
      <c r="B186" s="651" t="s">
        <v>299</v>
      </c>
      <c r="C186" s="431" t="s">
        <v>300</v>
      </c>
      <c r="D186" s="651" t="s">
        <v>95</v>
      </c>
      <c r="E186" s="432">
        <f>'PB VI - Memorial'!G375</f>
        <v>14.975</v>
      </c>
      <c r="F186" s="653">
        <v>36.4</v>
      </c>
      <c r="G186" s="652">
        <f t="shared" si="27"/>
        <v>545.09</v>
      </c>
      <c r="H186" s="654"/>
      <c r="M186" s="695">
        <f t="shared" si="24"/>
        <v>997182.95</v>
      </c>
    </row>
    <row r="187" s="625" customFormat="1" ht="12" spans="1:13">
      <c r="A187" s="691" t="s">
        <v>301</v>
      </c>
      <c r="B187" s="651" t="s">
        <v>302</v>
      </c>
      <c r="C187" s="431" t="s">
        <v>303</v>
      </c>
      <c r="D187" s="651" t="s">
        <v>95</v>
      </c>
      <c r="E187" s="432">
        <f>'PB VI - Memorial'!G376</f>
        <v>7.55</v>
      </c>
      <c r="F187" s="653">
        <v>44.41</v>
      </c>
      <c r="G187" s="652">
        <f t="shared" si="27"/>
        <v>335.3</v>
      </c>
      <c r="H187" s="654"/>
      <c r="M187" s="695">
        <f t="shared" si="24"/>
        <v>997182.95</v>
      </c>
    </row>
    <row r="188" s="625" customFormat="1" ht="12" spans="1:13">
      <c r="A188" s="691"/>
      <c r="B188" s="651"/>
      <c r="C188" s="431"/>
      <c r="D188" s="651"/>
      <c r="E188" s="432"/>
      <c r="F188" s="653"/>
      <c r="G188" s="652"/>
      <c r="H188" s="654"/>
      <c r="M188" s="695">
        <f t="shared" si="24"/>
        <v>997182.95</v>
      </c>
    </row>
    <row r="189" s="625" customFormat="1" ht="12" spans="1:13">
      <c r="A189" s="650"/>
      <c r="B189" s="655" t="s">
        <v>31</v>
      </c>
      <c r="C189" s="748" t="s">
        <v>304</v>
      </c>
      <c r="D189" s="651"/>
      <c r="E189" s="432"/>
      <c r="F189" s="653"/>
      <c r="G189" s="652"/>
      <c r="H189" s="654"/>
      <c r="M189" s="695">
        <f t="shared" si="24"/>
        <v>997182.95</v>
      </c>
    </row>
    <row r="190" s="625" customFormat="1" ht="12" spans="1:13">
      <c r="A190" s="651">
        <v>94582</v>
      </c>
      <c r="B190" s="651" t="s">
        <v>305</v>
      </c>
      <c r="C190" s="650" t="s">
        <v>306</v>
      </c>
      <c r="D190" s="651" t="s">
        <v>17</v>
      </c>
      <c r="E190" s="432">
        <f>'PB VI - Memorial'!G380</f>
        <v>1.8</v>
      </c>
      <c r="F190" s="653">
        <v>362.35</v>
      </c>
      <c r="G190" s="652">
        <f t="shared" ref="G190:G197" si="28">ROUND(E190*F190,2)</f>
        <v>652.23</v>
      </c>
      <c r="H190" s="654"/>
      <c r="M190" s="695">
        <f t="shared" si="24"/>
        <v>997182.95</v>
      </c>
    </row>
    <row r="191" s="625" customFormat="1" ht="12" spans="1:13">
      <c r="A191" s="651">
        <v>94582</v>
      </c>
      <c r="B191" s="651" t="s">
        <v>307</v>
      </c>
      <c r="C191" s="650" t="s">
        <v>308</v>
      </c>
      <c r="D191" s="651" t="s">
        <v>17</v>
      </c>
      <c r="E191" s="432">
        <f>'PB VI - Memorial'!G381</f>
        <v>8.625</v>
      </c>
      <c r="F191" s="653">
        <v>362.35</v>
      </c>
      <c r="G191" s="652">
        <f t="shared" si="28"/>
        <v>3125.27</v>
      </c>
      <c r="H191" s="654"/>
      <c r="M191" s="695">
        <f t="shared" si="24"/>
        <v>997182.95</v>
      </c>
    </row>
    <row r="192" s="625" customFormat="1" ht="12" spans="1:13">
      <c r="A192" s="651">
        <v>94582</v>
      </c>
      <c r="B192" s="651" t="s">
        <v>309</v>
      </c>
      <c r="C192" s="650" t="s">
        <v>310</v>
      </c>
      <c r="D192" s="651" t="s">
        <v>17</v>
      </c>
      <c r="E192" s="432">
        <f>'PB VI - Memorial'!G382</f>
        <v>13.8</v>
      </c>
      <c r="F192" s="653">
        <v>362.35</v>
      </c>
      <c r="G192" s="652">
        <f t="shared" si="28"/>
        <v>5000.43</v>
      </c>
      <c r="H192" s="654"/>
      <c r="M192" s="695">
        <f t="shared" si="24"/>
        <v>997182.95</v>
      </c>
    </row>
    <row r="193" s="625" customFormat="1" ht="12" spans="1:13">
      <c r="A193" s="651">
        <v>93186</v>
      </c>
      <c r="B193" s="651" t="s">
        <v>311</v>
      </c>
      <c r="C193" s="431" t="s">
        <v>312</v>
      </c>
      <c r="D193" s="651" t="s">
        <v>95</v>
      </c>
      <c r="E193" s="432">
        <f>'PB VI - Memorial'!G386</f>
        <v>13.5</v>
      </c>
      <c r="F193" s="653">
        <v>38</v>
      </c>
      <c r="G193" s="652">
        <f t="shared" si="28"/>
        <v>513</v>
      </c>
      <c r="H193" s="654"/>
      <c r="M193" s="695">
        <f t="shared" si="24"/>
        <v>997182.95</v>
      </c>
    </row>
    <row r="194" s="625" customFormat="1" ht="12" spans="1:13">
      <c r="A194" s="651">
        <v>93187</v>
      </c>
      <c r="B194" s="651" t="s">
        <v>313</v>
      </c>
      <c r="C194" s="431" t="s">
        <v>314</v>
      </c>
      <c r="D194" s="651" t="s">
        <v>95</v>
      </c>
      <c r="E194" s="432">
        <f>'PB VI - Memorial'!G385</f>
        <v>12</v>
      </c>
      <c r="F194" s="653">
        <v>43.93</v>
      </c>
      <c r="G194" s="652">
        <f t="shared" si="28"/>
        <v>527.16</v>
      </c>
      <c r="H194" s="654"/>
      <c r="M194" s="695">
        <f t="shared" si="24"/>
        <v>997182.95</v>
      </c>
    </row>
    <row r="195" s="625" customFormat="1" ht="22.5" spans="1:13">
      <c r="A195" s="651">
        <v>93196</v>
      </c>
      <c r="B195" s="651" t="s">
        <v>315</v>
      </c>
      <c r="C195" s="431" t="s">
        <v>316</v>
      </c>
      <c r="D195" s="651" t="s">
        <v>95</v>
      </c>
      <c r="E195" s="432">
        <f>'PB VI - Memorial'!G386</f>
        <v>13.5</v>
      </c>
      <c r="F195" s="653">
        <v>36.4</v>
      </c>
      <c r="G195" s="652">
        <f t="shared" si="28"/>
        <v>491.4</v>
      </c>
      <c r="H195" s="654"/>
      <c r="M195" s="695">
        <f t="shared" si="24"/>
        <v>997182.95</v>
      </c>
    </row>
    <row r="196" s="625" customFormat="1" ht="22.5" spans="1:13">
      <c r="A196" s="651">
        <v>93197</v>
      </c>
      <c r="B196" s="651" t="s">
        <v>317</v>
      </c>
      <c r="C196" s="431" t="s">
        <v>318</v>
      </c>
      <c r="D196" s="651" t="s">
        <v>95</v>
      </c>
      <c r="E196" s="432">
        <f>'PB VI - Memorial'!G387</f>
        <v>12</v>
      </c>
      <c r="F196" s="653">
        <v>40.4</v>
      </c>
      <c r="G196" s="652">
        <f t="shared" si="28"/>
        <v>484.8</v>
      </c>
      <c r="H196" s="654"/>
      <c r="M196" s="695">
        <f t="shared" si="24"/>
        <v>997182.95</v>
      </c>
    </row>
    <row r="197" s="625" customFormat="1" ht="12" spans="1:13">
      <c r="A197" s="651" t="s">
        <v>319</v>
      </c>
      <c r="B197" s="651" t="s">
        <v>320</v>
      </c>
      <c r="C197" s="431" t="s">
        <v>321</v>
      </c>
      <c r="D197" s="651" t="s">
        <v>17</v>
      </c>
      <c r="E197" s="432">
        <f>'PB VI - Memorial'!G389</f>
        <v>27.285</v>
      </c>
      <c r="F197" s="653">
        <v>261.49</v>
      </c>
      <c r="G197" s="652">
        <f t="shared" si="28"/>
        <v>7134.75</v>
      </c>
      <c r="H197" s="654"/>
      <c r="M197" s="695"/>
    </row>
    <row r="198" s="625" customFormat="1" ht="12" spans="1:13">
      <c r="A198" s="651"/>
      <c r="B198" s="651"/>
      <c r="C198" s="431"/>
      <c r="D198" s="651"/>
      <c r="E198" s="432"/>
      <c r="F198" s="653"/>
      <c r="G198" s="652"/>
      <c r="H198" s="654"/>
      <c r="M198" s="695"/>
    </row>
    <row r="199" s="625" customFormat="1" ht="12" spans="1:13">
      <c r="A199" s="647"/>
      <c r="B199" s="705" t="s">
        <v>322</v>
      </c>
      <c r="C199" s="706" t="s">
        <v>323</v>
      </c>
      <c r="D199" s="707"/>
      <c r="E199" s="708"/>
      <c r="F199" s="709"/>
      <c r="G199" s="710">
        <f>SUM(G200:G202)</f>
        <v>5132.14</v>
      </c>
      <c r="H199" s="654"/>
      <c r="M199" s="695">
        <f t="shared" ref="M199:M214" si="29">$F$432</f>
        <v>997182.95</v>
      </c>
    </row>
    <row r="200" s="625" customFormat="1" ht="12" spans="1:13">
      <c r="A200" s="719" t="s">
        <v>324</v>
      </c>
      <c r="B200" s="716" t="s">
        <v>325</v>
      </c>
      <c r="C200" s="698" t="s">
        <v>326</v>
      </c>
      <c r="D200" s="716" t="s">
        <v>95</v>
      </c>
      <c r="E200" s="733">
        <f>'PB VI - Memorial'!G394</f>
        <v>18.3</v>
      </c>
      <c r="F200" s="694">
        <v>73.62</v>
      </c>
      <c r="G200" s="694">
        <f>ROUND(E200*F200,2)</f>
        <v>1347.25</v>
      </c>
      <c r="H200" s="654"/>
      <c r="M200" s="695">
        <f t="shared" si="29"/>
        <v>997182.95</v>
      </c>
    </row>
    <row r="201" s="625" customFormat="1" ht="12" spans="1:13">
      <c r="A201" s="719" t="s">
        <v>327</v>
      </c>
      <c r="B201" s="716" t="s">
        <v>328</v>
      </c>
      <c r="C201" s="698" t="s">
        <v>329</v>
      </c>
      <c r="D201" s="716" t="s">
        <v>95</v>
      </c>
      <c r="E201" s="733">
        <f>'PB VI - Memorial'!G397</f>
        <v>25.5</v>
      </c>
      <c r="F201" s="694">
        <v>102.63</v>
      </c>
      <c r="G201" s="694">
        <f>ROUND(E201*F201,2)</f>
        <v>2617.07</v>
      </c>
      <c r="H201" s="654"/>
      <c r="M201" s="695">
        <f t="shared" si="29"/>
        <v>997182.95</v>
      </c>
    </row>
    <row r="202" s="625" customFormat="1" ht="12" spans="1:13">
      <c r="A202" s="719" t="s">
        <v>330</v>
      </c>
      <c r="B202" s="716" t="s">
        <v>331</v>
      </c>
      <c r="C202" s="698" t="s">
        <v>332</v>
      </c>
      <c r="D202" s="716" t="s">
        <v>95</v>
      </c>
      <c r="E202" s="733">
        <f>'PB VI - Memorial'!G418</f>
        <v>230.34</v>
      </c>
      <c r="F202" s="694">
        <v>5.07</v>
      </c>
      <c r="G202" s="694">
        <f>ROUND(E202*F202,2)</f>
        <v>1167.82</v>
      </c>
      <c r="H202" s="654"/>
      <c r="M202" s="695">
        <f t="shared" si="29"/>
        <v>997182.95</v>
      </c>
    </row>
    <row r="203" s="625" customFormat="1" ht="12" spans="1:13">
      <c r="A203" s="680"/>
      <c r="B203" s="680"/>
      <c r="C203" s="692"/>
      <c r="D203" s="669"/>
      <c r="E203" s="675"/>
      <c r="F203" s="675"/>
      <c r="G203" s="693"/>
      <c r="H203" s="654"/>
      <c r="M203" s="695">
        <f t="shared" si="29"/>
        <v>997182.95</v>
      </c>
    </row>
    <row r="204" s="625" customFormat="1" ht="12.75" spans="1:13">
      <c r="A204" s="647"/>
      <c r="B204" s="641">
        <v>11</v>
      </c>
      <c r="C204" s="646" t="s">
        <v>333</v>
      </c>
      <c r="D204" s="647"/>
      <c r="E204" s="674"/>
      <c r="F204" s="674"/>
      <c r="G204" s="649">
        <f>SUM(G205:G205)</f>
        <v>18914.51</v>
      </c>
      <c r="H204" s="644"/>
      <c r="M204" s="695">
        <f t="shared" si="29"/>
        <v>997182.95</v>
      </c>
    </row>
    <row r="205" s="625" customFormat="1" ht="33.75" spans="1:13">
      <c r="A205" s="651" t="str">
        <f>'PB VIII - Composições Auxilia'!A40</f>
        <v>COMP. 06 - DPE</v>
      </c>
      <c r="B205" s="651" t="s">
        <v>334</v>
      </c>
      <c r="C205" s="650" t="s">
        <v>335</v>
      </c>
      <c r="D205" s="651" t="s">
        <v>17</v>
      </c>
      <c r="E205" s="432">
        <f>'PB VI - Memorial'!G440</f>
        <v>225.28</v>
      </c>
      <c r="F205" s="653">
        <f>'PB VIII - Composições Auxilia'!F43</f>
        <v>83.96</v>
      </c>
      <c r="G205" s="652">
        <f>ROUND(E205*F205,2)</f>
        <v>18914.51</v>
      </c>
      <c r="H205" s="654"/>
      <c r="M205" s="695">
        <f t="shared" si="29"/>
        <v>997182.95</v>
      </c>
    </row>
    <row r="206" s="625" customFormat="1" ht="12" spans="1:13">
      <c r="A206" s="650"/>
      <c r="B206" s="651"/>
      <c r="C206" s="431"/>
      <c r="D206" s="651"/>
      <c r="E206" s="432"/>
      <c r="F206" s="653"/>
      <c r="G206" s="652"/>
      <c r="H206" s="654"/>
      <c r="M206" s="695">
        <f t="shared" si="29"/>
        <v>997182.95</v>
      </c>
    </row>
    <row r="207" s="625" customFormat="1" ht="12" spans="1:13">
      <c r="A207" s="647"/>
      <c r="B207" s="641">
        <v>12</v>
      </c>
      <c r="C207" s="646" t="s">
        <v>336</v>
      </c>
      <c r="D207" s="647"/>
      <c r="E207" s="674"/>
      <c r="F207" s="674"/>
      <c r="G207" s="649">
        <f>SUM(G208:G212)</f>
        <v>25236.12</v>
      </c>
      <c r="H207" s="654"/>
      <c r="M207" s="695">
        <f t="shared" si="29"/>
        <v>997182.95</v>
      </c>
    </row>
    <row r="208" s="625" customFormat="1" ht="12" spans="1:13">
      <c r="A208" s="651">
        <v>92580</v>
      </c>
      <c r="B208" s="651" t="s">
        <v>337</v>
      </c>
      <c r="C208" s="431" t="s">
        <v>338</v>
      </c>
      <c r="D208" s="651" t="s">
        <v>17</v>
      </c>
      <c r="E208" s="432">
        <f>'PB VI - Memorial'!E444</f>
        <v>287.32</v>
      </c>
      <c r="F208" s="653">
        <v>23.33</v>
      </c>
      <c r="G208" s="652">
        <f>ROUND(E208*F208,2)</f>
        <v>6703.18</v>
      </c>
      <c r="H208" s="654"/>
      <c r="M208" s="695">
        <f t="shared" si="29"/>
        <v>997182.95</v>
      </c>
    </row>
    <row r="209" s="625" customFormat="1" ht="12" spans="1:13">
      <c r="A209" s="651">
        <v>94213</v>
      </c>
      <c r="B209" s="651" t="s">
        <v>339</v>
      </c>
      <c r="C209" s="431" t="s">
        <v>340</v>
      </c>
      <c r="D209" s="651" t="s">
        <v>17</v>
      </c>
      <c r="E209" s="432">
        <f>'PB VI - Memorial'!E445</f>
        <v>287.32</v>
      </c>
      <c r="F209" s="653">
        <v>38.2</v>
      </c>
      <c r="G209" s="652">
        <f>ROUND(E209*F209,2)</f>
        <v>10975.62</v>
      </c>
      <c r="H209" s="654"/>
      <c r="M209" s="695">
        <f t="shared" si="29"/>
        <v>997182.95</v>
      </c>
    </row>
    <row r="210" s="625" customFormat="1" ht="22.5" spans="1:13">
      <c r="A210" s="651" t="s">
        <v>341</v>
      </c>
      <c r="B210" s="651" t="s">
        <v>342</v>
      </c>
      <c r="C210" s="431" t="s">
        <v>343</v>
      </c>
      <c r="D210" s="651" t="s">
        <v>17</v>
      </c>
      <c r="E210" s="432">
        <f>'PB VI - Memorial'!E446</f>
        <v>287.32</v>
      </c>
      <c r="F210" s="653">
        <v>11.79</v>
      </c>
      <c r="G210" s="652">
        <f t="shared" ref="G210:G212" si="30">ROUND(E210*F210,2)</f>
        <v>3387.5</v>
      </c>
      <c r="H210" s="654"/>
      <c r="M210" s="695">
        <f t="shared" si="29"/>
        <v>997182.95</v>
      </c>
    </row>
    <row r="211" s="625" customFormat="1" ht="22.5" spans="1:13">
      <c r="A211" s="651" t="str">
        <f>'PB VIII - Composições Auxilia'!A45</f>
        <v>COMP. 07 - DPE</v>
      </c>
      <c r="B211" s="651" t="s">
        <v>344</v>
      </c>
      <c r="C211" s="431" t="s">
        <v>345</v>
      </c>
      <c r="D211" s="651" t="s">
        <v>95</v>
      </c>
      <c r="E211" s="432">
        <f>'PB VI - Memorial'!D447</f>
        <v>38.7</v>
      </c>
      <c r="F211" s="653">
        <f>'PB VIII - Composições Auxilia'!F58</f>
        <v>79.79</v>
      </c>
      <c r="G211" s="652">
        <f t="shared" si="30"/>
        <v>3087.87</v>
      </c>
      <c r="H211" s="654"/>
      <c r="M211" s="695">
        <f t="shared" si="29"/>
        <v>997182.95</v>
      </c>
    </row>
    <row r="212" s="625" customFormat="1" ht="12" spans="1:13">
      <c r="A212" s="651">
        <v>75220</v>
      </c>
      <c r="B212" s="651" t="s">
        <v>346</v>
      </c>
      <c r="C212" s="431" t="s">
        <v>347</v>
      </c>
      <c r="D212" s="651" t="s">
        <v>95</v>
      </c>
      <c r="E212" s="432">
        <f>'PB VI - Memorial'!D448</f>
        <v>34.49</v>
      </c>
      <c r="F212" s="653">
        <v>31.37</v>
      </c>
      <c r="G212" s="652">
        <f t="shared" si="30"/>
        <v>1081.95</v>
      </c>
      <c r="H212" s="654"/>
      <c r="M212" s="695">
        <f t="shared" si="29"/>
        <v>997182.95</v>
      </c>
    </row>
    <row r="213" s="625" customFormat="1" ht="12" spans="1:13">
      <c r="A213" s="651"/>
      <c r="B213" s="651"/>
      <c r="C213" s="431"/>
      <c r="D213" s="651"/>
      <c r="E213" s="432"/>
      <c r="F213" s="653"/>
      <c r="G213" s="652"/>
      <c r="H213" s="654"/>
      <c r="M213" s="695">
        <f t="shared" si="29"/>
        <v>997182.95</v>
      </c>
    </row>
    <row r="214" s="625" customFormat="1" ht="12" spans="1:13">
      <c r="A214" s="647"/>
      <c r="B214" s="641">
        <v>13</v>
      </c>
      <c r="C214" s="646" t="s">
        <v>348</v>
      </c>
      <c r="D214" s="647"/>
      <c r="E214" s="674"/>
      <c r="F214" s="674"/>
      <c r="G214" s="649">
        <f>SUM(G217:G234)</f>
        <v>1975.35</v>
      </c>
      <c r="H214" s="654"/>
      <c r="M214" s="695">
        <f t="shared" si="29"/>
        <v>997182.95</v>
      </c>
    </row>
    <row r="215" s="625" customFormat="1" ht="12" spans="1:13">
      <c r="A215" s="651"/>
      <c r="B215" s="651"/>
      <c r="C215" s="431"/>
      <c r="D215" s="651"/>
      <c r="E215" s="432"/>
      <c r="F215" s="670"/>
      <c r="G215" s="652"/>
      <c r="H215" s="654"/>
      <c r="M215" s="695"/>
    </row>
    <row r="216" s="625" customFormat="1" ht="12" spans="1:13">
      <c r="A216" s="651"/>
      <c r="B216" s="655" t="s">
        <v>12</v>
      </c>
      <c r="C216" s="681" t="s">
        <v>349</v>
      </c>
      <c r="D216" s="651"/>
      <c r="E216" s="432"/>
      <c r="F216" s="670"/>
      <c r="G216" s="652"/>
      <c r="H216" s="654"/>
      <c r="M216" s="695"/>
    </row>
    <row r="217" s="625" customFormat="1" ht="12" spans="1:13">
      <c r="A217" s="651" t="s">
        <v>350</v>
      </c>
      <c r="B217" s="651" t="s">
        <v>351</v>
      </c>
      <c r="C217" s="431" t="s">
        <v>352</v>
      </c>
      <c r="D217" s="651" t="s">
        <v>95</v>
      </c>
      <c r="E217" s="432">
        <f>'PB VI - Memorial'!G453</f>
        <v>6.17</v>
      </c>
      <c r="F217" s="670">
        <v>14.93</v>
      </c>
      <c r="G217" s="652">
        <f>ROUND(E217*F217,2)</f>
        <v>92.12</v>
      </c>
      <c r="H217" s="654"/>
      <c r="M217" s="695">
        <f>$F$432</f>
        <v>997182.95</v>
      </c>
    </row>
    <row r="218" s="625" customFormat="1" ht="12" spans="1:13">
      <c r="A218" s="651" t="s">
        <v>353</v>
      </c>
      <c r="B218" s="651" t="s">
        <v>354</v>
      </c>
      <c r="C218" s="431" t="s">
        <v>355</v>
      </c>
      <c r="D218" s="651" t="s">
        <v>95</v>
      </c>
      <c r="E218" s="432">
        <f>'PB VI - Memorial'!G454</f>
        <v>1.01</v>
      </c>
      <c r="F218" s="670">
        <v>19.81</v>
      </c>
      <c r="G218" s="652">
        <f>ROUND(E218*F218,2)</f>
        <v>20.01</v>
      </c>
      <c r="H218" s="654"/>
      <c r="M218" s="695"/>
    </row>
    <row r="219" s="625" customFormat="1" ht="12" spans="1:13">
      <c r="A219" s="651"/>
      <c r="B219" s="651"/>
      <c r="C219" s="431"/>
      <c r="D219" s="651"/>
      <c r="E219" s="432"/>
      <c r="F219" s="670"/>
      <c r="G219" s="652"/>
      <c r="H219" s="654"/>
      <c r="M219" s="695"/>
    </row>
    <row r="220" s="625" customFormat="1" ht="12" spans="1:13">
      <c r="A220" s="651"/>
      <c r="B220" s="655" t="s">
        <v>31</v>
      </c>
      <c r="C220" s="681" t="s">
        <v>356</v>
      </c>
      <c r="D220" s="651"/>
      <c r="E220" s="432"/>
      <c r="F220" s="670"/>
      <c r="G220" s="652"/>
      <c r="H220" s="654"/>
      <c r="M220" s="695"/>
    </row>
    <row r="221" s="625" customFormat="1" ht="12" spans="1:13">
      <c r="A221" s="651">
        <v>89446</v>
      </c>
      <c r="B221" s="651" t="s">
        <v>357</v>
      </c>
      <c r="C221" s="431" t="s">
        <v>352</v>
      </c>
      <c r="D221" s="651" t="s">
        <v>95</v>
      </c>
      <c r="E221" s="432">
        <f>'PB VI - Memorial'!G456</f>
        <v>15.6</v>
      </c>
      <c r="F221" s="670">
        <v>2.64</v>
      </c>
      <c r="G221" s="652">
        <f>ROUND(E221*F221,2)</f>
        <v>41.18</v>
      </c>
      <c r="H221" s="654"/>
      <c r="M221" s="695"/>
    </row>
    <row r="222" s="625" customFormat="1" ht="12" spans="1:13">
      <c r="A222" s="651">
        <v>89447</v>
      </c>
      <c r="B222" s="651" t="s">
        <v>358</v>
      </c>
      <c r="C222" s="431" t="s">
        <v>355</v>
      </c>
      <c r="D222" s="651" t="s">
        <v>95</v>
      </c>
      <c r="E222" s="432">
        <f>'PB VI - Memorial'!G457</f>
        <v>5.15</v>
      </c>
      <c r="F222" s="670">
        <v>5.16</v>
      </c>
      <c r="G222" s="652">
        <f>ROUND(E222*F222,2)</f>
        <v>26.57</v>
      </c>
      <c r="H222" s="654"/>
      <c r="M222" s="695">
        <f>$F$432</f>
        <v>997182.95</v>
      </c>
    </row>
    <row r="223" s="625" customFormat="1" ht="12" spans="1:13">
      <c r="A223" s="651"/>
      <c r="B223" s="651"/>
      <c r="C223" s="431"/>
      <c r="D223" s="651"/>
      <c r="E223" s="432"/>
      <c r="F223" s="670"/>
      <c r="G223" s="652"/>
      <c r="H223" s="654"/>
      <c r="M223" s="695"/>
    </row>
    <row r="224" s="625" customFormat="1" ht="12" spans="1:13">
      <c r="A224" s="651"/>
      <c r="B224" s="655" t="s">
        <v>74</v>
      </c>
      <c r="C224" s="681" t="s">
        <v>359</v>
      </c>
      <c r="D224" s="651"/>
      <c r="E224" s="432"/>
      <c r="F224" s="670"/>
      <c r="G224" s="652"/>
      <c r="H224" s="654"/>
      <c r="M224" s="695"/>
    </row>
    <row r="225" s="625" customFormat="1" ht="12" spans="1:13">
      <c r="A225" s="651" t="s">
        <v>360</v>
      </c>
      <c r="B225" s="651" t="s">
        <v>361</v>
      </c>
      <c r="C225" s="431" t="s">
        <v>362</v>
      </c>
      <c r="D225" s="651" t="s">
        <v>95</v>
      </c>
      <c r="E225" s="432">
        <f>'PB VI - Memorial'!G459</f>
        <v>15.14</v>
      </c>
      <c r="F225" s="670">
        <v>12.85</v>
      </c>
      <c r="G225" s="652">
        <f>ROUND(E225*F225,2)</f>
        <v>194.55</v>
      </c>
      <c r="H225" s="654"/>
      <c r="M225" s="695">
        <f>$F$432</f>
        <v>997182.95</v>
      </c>
    </row>
    <row r="226" s="625" customFormat="1" ht="12" spans="1:13">
      <c r="A226" s="651">
        <v>88503</v>
      </c>
      <c r="B226" s="651" t="s">
        <v>363</v>
      </c>
      <c r="C226" s="650" t="s">
        <v>364</v>
      </c>
      <c r="D226" s="651" t="s">
        <v>20</v>
      </c>
      <c r="E226" s="432">
        <v>1</v>
      </c>
      <c r="F226" s="432">
        <v>640.45</v>
      </c>
      <c r="G226" s="652">
        <f>ROUND(E226*F226,2)</f>
        <v>640.45</v>
      </c>
      <c r="H226" s="654"/>
      <c r="M226" s="695">
        <f>$F$432</f>
        <v>997182.95</v>
      </c>
    </row>
    <row r="227" s="625" customFormat="1" ht="12" spans="1:13">
      <c r="A227" s="651">
        <v>90443</v>
      </c>
      <c r="B227" s="651" t="s">
        <v>365</v>
      </c>
      <c r="C227" s="650" t="s">
        <v>366</v>
      </c>
      <c r="D227" s="651" t="s">
        <v>95</v>
      </c>
      <c r="E227" s="432">
        <f>'PB VI - Memorial'!G453+'PB VI - Memorial'!G454+'PB VI - Memorial'!G456+'PB VI - Memorial'!G457</f>
        <v>27.93</v>
      </c>
      <c r="F227" s="432">
        <v>9.58</v>
      </c>
      <c r="G227" s="652">
        <f t="shared" ref="G227:G228" si="31">ROUND(E227*F227,2)</f>
        <v>267.57</v>
      </c>
      <c r="H227" s="654"/>
      <c r="M227" s="695">
        <f>$F$432</f>
        <v>997182.95</v>
      </c>
    </row>
    <row r="228" s="625" customFormat="1" ht="12" spans="1:13">
      <c r="A228" s="651">
        <v>90466</v>
      </c>
      <c r="B228" s="651" t="s">
        <v>367</v>
      </c>
      <c r="C228" s="650" t="s">
        <v>368</v>
      </c>
      <c r="D228" s="651" t="s">
        <v>95</v>
      </c>
      <c r="E228" s="432">
        <f>E227</f>
        <v>27.93</v>
      </c>
      <c r="F228" s="432">
        <v>9.66</v>
      </c>
      <c r="G228" s="652">
        <f t="shared" si="31"/>
        <v>269.8</v>
      </c>
      <c r="H228" s="654"/>
      <c r="M228" s="695">
        <f>$F$432</f>
        <v>997182.95</v>
      </c>
    </row>
    <row r="229" s="625" customFormat="1" ht="12" spans="1:13">
      <c r="A229" s="651"/>
      <c r="B229" s="651"/>
      <c r="C229" s="650"/>
      <c r="D229" s="651"/>
      <c r="E229" s="432"/>
      <c r="F229" s="432"/>
      <c r="G229" s="652"/>
      <c r="H229" s="654"/>
      <c r="M229" s="695">
        <f t="shared" ref="M229:M260" si="32">$F$432</f>
        <v>997182.95</v>
      </c>
    </row>
    <row r="230" s="625" customFormat="1" ht="12" spans="1:13">
      <c r="A230" s="651"/>
      <c r="B230" s="655" t="s">
        <v>85</v>
      </c>
      <c r="C230" s="748" t="s">
        <v>369</v>
      </c>
      <c r="D230" s="651"/>
      <c r="E230" s="432"/>
      <c r="F230" s="432"/>
      <c r="G230" s="652"/>
      <c r="H230" s="654"/>
      <c r="M230" s="695">
        <f t="shared" si="32"/>
        <v>997182.95</v>
      </c>
    </row>
    <row r="231" s="625" customFormat="1" ht="22.5" spans="1:13">
      <c r="A231" s="651">
        <v>95634</v>
      </c>
      <c r="B231" s="651" t="s">
        <v>370</v>
      </c>
      <c r="C231" s="650" t="s">
        <v>371</v>
      </c>
      <c r="D231" s="651" t="s">
        <v>20</v>
      </c>
      <c r="E231" s="432">
        <v>1</v>
      </c>
      <c r="F231" s="432">
        <v>89.76</v>
      </c>
      <c r="G231" s="652">
        <f>ROUND(E231*F231,2)</f>
        <v>89.76</v>
      </c>
      <c r="H231" s="654"/>
      <c r="M231" s="695">
        <f t="shared" si="32"/>
        <v>997182.95</v>
      </c>
    </row>
    <row r="232" s="625" customFormat="1" ht="12" spans="1:13">
      <c r="A232" s="651">
        <v>94795</v>
      </c>
      <c r="B232" s="651" t="s">
        <v>372</v>
      </c>
      <c r="C232" s="650" t="s">
        <v>373</v>
      </c>
      <c r="D232" s="651" t="s">
        <v>20</v>
      </c>
      <c r="E232" s="432">
        <v>1</v>
      </c>
      <c r="F232" s="432">
        <v>21.1</v>
      </c>
      <c r="G232" s="652">
        <f>ROUND(E232*F232,2)</f>
        <v>21.1</v>
      </c>
      <c r="H232" s="654"/>
      <c r="M232" s="695">
        <f t="shared" si="32"/>
        <v>997182.95</v>
      </c>
    </row>
    <row r="233" s="625" customFormat="1" ht="12" spans="1:13">
      <c r="A233" s="691" t="s">
        <v>374</v>
      </c>
      <c r="B233" s="651" t="s">
        <v>375</v>
      </c>
      <c r="C233" s="431" t="s">
        <v>355</v>
      </c>
      <c r="D233" s="651" t="s">
        <v>95</v>
      </c>
      <c r="E233" s="432">
        <f>'PB VI - Memorial'!G463</f>
        <v>11.88</v>
      </c>
      <c r="F233" s="670">
        <v>19.81</v>
      </c>
      <c r="G233" s="652">
        <f>ROUND(E233*F233,2)</f>
        <v>235.34</v>
      </c>
      <c r="H233" s="654"/>
      <c r="M233" s="695">
        <f t="shared" si="32"/>
        <v>997182.95</v>
      </c>
    </row>
    <row r="234" s="625" customFormat="1" ht="12" spans="1:13">
      <c r="A234" s="650" t="s">
        <v>376</v>
      </c>
      <c r="B234" s="651" t="s">
        <v>377</v>
      </c>
      <c r="C234" s="650" t="s">
        <v>378</v>
      </c>
      <c r="D234" s="651" t="s">
        <v>20</v>
      </c>
      <c r="E234" s="432">
        <v>1</v>
      </c>
      <c r="F234" s="670">
        <v>76.9</v>
      </c>
      <c r="G234" s="652">
        <f>ROUND(E234*F234,2)</f>
        <v>76.9</v>
      </c>
      <c r="H234" s="654"/>
      <c r="M234" s="695">
        <f t="shared" si="32"/>
        <v>997182.95</v>
      </c>
    </row>
    <row r="235" s="625" customFormat="1" ht="12" spans="1:13">
      <c r="A235" s="692"/>
      <c r="B235" s="669"/>
      <c r="C235" s="692"/>
      <c r="D235" s="669"/>
      <c r="E235" s="675"/>
      <c r="F235" s="690"/>
      <c r="G235" s="652"/>
      <c r="H235" s="654"/>
      <c r="M235" s="695">
        <f t="shared" si="32"/>
        <v>997182.95</v>
      </c>
    </row>
    <row r="236" s="625" customFormat="1" ht="12" spans="1:13">
      <c r="A236" s="647"/>
      <c r="B236" s="641">
        <v>14</v>
      </c>
      <c r="C236" s="646" t="s">
        <v>379</v>
      </c>
      <c r="D236" s="647"/>
      <c r="E236" s="674"/>
      <c r="F236" s="674"/>
      <c r="G236" s="649">
        <f>SUM(G239:G267)</f>
        <v>7060.81</v>
      </c>
      <c r="H236" s="654"/>
      <c r="M236" s="695">
        <f t="shared" si="32"/>
        <v>997182.95</v>
      </c>
    </row>
    <row r="237" s="625" customFormat="1" ht="12" spans="1:13">
      <c r="A237" s="650"/>
      <c r="B237" s="651"/>
      <c r="C237" s="650"/>
      <c r="D237" s="651"/>
      <c r="E237" s="432"/>
      <c r="F237" s="670"/>
      <c r="G237" s="652"/>
      <c r="H237" s="654"/>
      <c r="M237" s="695"/>
    </row>
    <row r="238" s="625" customFormat="1" ht="12" spans="1:13">
      <c r="A238" s="650"/>
      <c r="B238" s="651" t="s">
        <v>12</v>
      </c>
      <c r="C238" s="748" t="s">
        <v>380</v>
      </c>
      <c r="D238" s="651"/>
      <c r="E238" s="432"/>
      <c r="F238" s="670"/>
      <c r="G238" s="652"/>
      <c r="H238" s="654"/>
      <c r="M238" s="695">
        <f t="shared" si="32"/>
        <v>997182.95</v>
      </c>
    </row>
    <row r="239" s="625" customFormat="1" ht="12" spans="1:13">
      <c r="A239" s="691" t="s">
        <v>381</v>
      </c>
      <c r="B239" s="651" t="s">
        <v>382</v>
      </c>
      <c r="C239" s="431" t="s">
        <v>383</v>
      </c>
      <c r="D239" s="651" t="s">
        <v>95</v>
      </c>
      <c r="E239" s="432">
        <f>'PB VI - Memorial'!G468</f>
        <v>8.18</v>
      </c>
      <c r="F239" s="670">
        <v>12.93</v>
      </c>
      <c r="G239" s="652">
        <f>ROUND(E239*F239,2)</f>
        <v>105.77</v>
      </c>
      <c r="H239" s="654"/>
      <c r="M239" s="695">
        <f t="shared" si="32"/>
        <v>997182.95</v>
      </c>
    </row>
    <row r="240" s="625" customFormat="1" ht="12" spans="1:13">
      <c r="A240" s="691" t="s">
        <v>384</v>
      </c>
      <c r="B240" s="651" t="s">
        <v>385</v>
      </c>
      <c r="C240" s="431" t="s">
        <v>386</v>
      </c>
      <c r="D240" s="651" t="s">
        <v>95</v>
      </c>
      <c r="E240" s="432">
        <f>'PB VI - Memorial'!G469</f>
        <v>11.68</v>
      </c>
      <c r="F240" s="670">
        <v>18.48</v>
      </c>
      <c r="G240" s="652">
        <f>ROUND(E240*F240,2)</f>
        <v>215.85</v>
      </c>
      <c r="H240" s="654"/>
      <c r="M240" s="695">
        <f t="shared" si="32"/>
        <v>997182.95</v>
      </c>
    </row>
    <row r="241" s="625" customFormat="1" ht="12" spans="1:13">
      <c r="A241" s="691" t="s">
        <v>387</v>
      </c>
      <c r="B241" s="651" t="s">
        <v>388</v>
      </c>
      <c r="C241" s="431" t="s">
        <v>389</v>
      </c>
      <c r="D241" s="651" t="s">
        <v>95</v>
      </c>
      <c r="E241" s="432">
        <f>'PB VI - Memorial'!G470</f>
        <v>1.81</v>
      </c>
      <c r="F241" s="670">
        <v>27.54</v>
      </c>
      <c r="G241" s="652">
        <f>ROUND(E241*F241,2)</f>
        <v>49.85</v>
      </c>
      <c r="H241" s="654"/>
      <c r="M241" s="695">
        <f t="shared" si="32"/>
        <v>997182.95</v>
      </c>
    </row>
    <row r="242" s="625" customFormat="1" ht="12" spans="1:13">
      <c r="A242" s="691" t="s">
        <v>390</v>
      </c>
      <c r="B242" s="651" t="s">
        <v>391</v>
      </c>
      <c r="C242" s="431" t="s">
        <v>392</v>
      </c>
      <c r="D242" s="651" t="s">
        <v>95</v>
      </c>
      <c r="E242" s="432">
        <f>'PB VI - Memorial'!G471</f>
        <v>64.46</v>
      </c>
      <c r="F242" s="670">
        <v>35.76</v>
      </c>
      <c r="G242" s="652">
        <f>ROUND(E242*F242,2)</f>
        <v>2305.09</v>
      </c>
      <c r="H242" s="654"/>
      <c r="M242" s="695">
        <f t="shared" si="32"/>
        <v>997182.95</v>
      </c>
    </row>
    <row r="243" s="625" customFormat="1" ht="12" spans="1:13">
      <c r="A243" s="650"/>
      <c r="B243" s="651"/>
      <c r="C243" s="650"/>
      <c r="D243" s="651"/>
      <c r="E243" s="432"/>
      <c r="F243" s="670"/>
      <c r="G243" s="652"/>
      <c r="H243" s="654"/>
      <c r="M243" s="695">
        <f t="shared" si="32"/>
        <v>997182.95</v>
      </c>
    </row>
    <row r="244" s="625" customFormat="1" ht="23.25" customHeight="1" spans="1:13">
      <c r="A244" s="650"/>
      <c r="B244" s="655" t="s">
        <v>31</v>
      </c>
      <c r="C244" s="433" t="s">
        <v>393</v>
      </c>
      <c r="D244" s="651"/>
      <c r="E244" s="432"/>
      <c r="F244" s="670"/>
      <c r="G244" s="652"/>
      <c r="H244" s="654"/>
      <c r="M244" s="695">
        <f t="shared" si="32"/>
        <v>997182.95</v>
      </c>
    </row>
    <row r="245" s="625" customFormat="1" ht="12" spans="1:13">
      <c r="A245" s="691">
        <v>89707</v>
      </c>
      <c r="B245" s="651" t="s">
        <v>394</v>
      </c>
      <c r="C245" s="431" t="s">
        <v>395</v>
      </c>
      <c r="D245" s="651" t="s">
        <v>20</v>
      </c>
      <c r="E245" s="432">
        <v>7</v>
      </c>
      <c r="F245" s="670">
        <v>17.23</v>
      </c>
      <c r="G245" s="652">
        <f>ROUND(E245*F245,2)</f>
        <v>120.61</v>
      </c>
      <c r="H245" s="654"/>
      <c r="M245" s="695">
        <f t="shared" si="32"/>
        <v>997182.95</v>
      </c>
    </row>
    <row r="246" s="625" customFormat="1" ht="12" spans="1:13">
      <c r="A246" s="691" t="s">
        <v>396</v>
      </c>
      <c r="B246" s="651" t="s">
        <v>397</v>
      </c>
      <c r="C246" s="431" t="s">
        <v>398</v>
      </c>
      <c r="D246" s="651" t="s">
        <v>20</v>
      </c>
      <c r="E246" s="432">
        <v>1</v>
      </c>
      <c r="F246" s="670">
        <v>150.08</v>
      </c>
      <c r="G246" s="652">
        <f t="shared" ref="G246:G247" si="33">ROUND(E246*F246,2)</f>
        <v>150.08</v>
      </c>
      <c r="H246" s="654"/>
      <c r="M246" s="695">
        <f t="shared" si="32"/>
        <v>997182.95</v>
      </c>
    </row>
    <row r="247" s="625" customFormat="1" ht="12" spans="1:13">
      <c r="A247" s="691" t="s">
        <v>399</v>
      </c>
      <c r="B247" s="651" t="s">
        <v>400</v>
      </c>
      <c r="C247" s="431" t="s">
        <v>401</v>
      </c>
      <c r="D247" s="651" t="s">
        <v>20</v>
      </c>
      <c r="E247" s="432">
        <v>8</v>
      </c>
      <c r="F247" s="670">
        <v>130.35</v>
      </c>
      <c r="G247" s="652">
        <f t="shared" si="33"/>
        <v>1042.8</v>
      </c>
      <c r="H247" s="654"/>
      <c r="M247" s="695">
        <f t="shared" si="32"/>
        <v>997182.95</v>
      </c>
    </row>
    <row r="248" s="625" customFormat="1" ht="12" spans="1:13">
      <c r="A248" s="691"/>
      <c r="B248" s="651"/>
      <c r="C248" s="431"/>
      <c r="D248" s="651"/>
      <c r="E248" s="432"/>
      <c r="F248" s="670"/>
      <c r="G248" s="652"/>
      <c r="H248" s="654"/>
      <c r="M248" s="695">
        <f t="shared" si="32"/>
        <v>997182.95</v>
      </c>
    </row>
    <row r="249" s="625" customFormat="1" ht="12" spans="1:13">
      <c r="A249" s="691"/>
      <c r="B249" s="655" t="s">
        <v>74</v>
      </c>
      <c r="C249" s="433" t="s">
        <v>402</v>
      </c>
      <c r="D249" s="651"/>
      <c r="E249" s="432"/>
      <c r="F249" s="670"/>
      <c r="G249" s="652"/>
      <c r="H249" s="654"/>
      <c r="M249" s="695">
        <f t="shared" si="32"/>
        <v>997182.95</v>
      </c>
    </row>
    <row r="250" s="625" customFormat="1" ht="12" spans="1:13">
      <c r="A250" s="691" t="s">
        <v>403</v>
      </c>
      <c r="B250" s="651" t="s">
        <v>404</v>
      </c>
      <c r="C250" s="431" t="s">
        <v>405</v>
      </c>
      <c r="D250" s="651" t="s">
        <v>20</v>
      </c>
      <c r="E250" s="432">
        <v>6</v>
      </c>
      <c r="F250" s="670">
        <v>9.56</v>
      </c>
      <c r="G250" s="652">
        <f t="shared" ref="G250:G255" si="34">ROUND(E250*F250,2)</f>
        <v>57.36</v>
      </c>
      <c r="H250" s="654"/>
      <c r="M250" s="695">
        <f t="shared" si="32"/>
        <v>997182.95</v>
      </c>
    </row>
    <row r="251" s="625" customFormat="1" ht="12" spans="1:13">
      <c r="A251" s="691" t="s">
        <v>406</v>
      </c>
      <c r="B251" s="651" t="s">
        <v>407</v>
      </c>
      <c r="C251" s="431" t="s">
        <v>408</v>
      </c>
      <c r="D251" s="651" t="s">
        <v>20</v>
      </c>
      <c r="E251" s="432">
        <v>2</v>
      </c>
      <c r="F251" s="670">
        <v>3.3</v>
      </c>
      <c r="G251" s="652">
        <f t="shared" si="34"/>
        <v>6.6</v>
      </c>
      <c r="H251" s="654"/>
      <c r="M251" s="695">
        <f t="shared" si="32"/>
        <v>997182.95</v>
      </c>
    </row>
    <row r="252" s="625" customFormat="1" ht="12" spans="1:13">
      <c r="A252" s="691" t="s">
        <v>409</v>
      </c>
      <c r="B252" s="651" t="s">
        <v>410</v>
      </c>
      <c r="C252" s="431" t="s">
        <v>411</v>
      </c>
      <c r="D252" s="651" t="s">
        <v>20</v>
      </c>
      <c r="E252" s="432">
        <v>1</v>
      </c>
      <c r="F252" s="670">
        <v>7.23</v>
      </c>
      <c r="G252" s="652">
        <f t="shared" si="34"/>
        <v>7.23</v>
      </c>
      <c r="H252" s="654"/>
      <c r="M252" s="695">
        <f t="shared" si="32"/>
        <v>997182.95</v>
      </c>
    </row>
    <row r="253" s="625" customFormat="1" ht="12" spans="1:13">
      <c r="A253" s="691" t="s">
        <v>412</v>
      </c>
      <c r="B253" s="651" t="s">
        <v>413</v>
      </c>
      <c r="C253" s="431" t="s">
        <v>414</v>
      </c>
      <c r="D253" s="651" t="s">
        <v>20</v>
      </c>
      <c r="E253" s="432">
        <v>8</v>
      </c>
      <c r="F253" s="670">
        <v>1.13</v>
      </c>
      <c r="G253" s="652">
        <f t="shared" si="34"/>
        <v>9.04</v>
      </c>
      <c r="H253" s="654"/>
      <c r="M253" s="695">
        <f t="shared" si="32"/>
        <v>997182.95</v>
      </c>
    </row>
    <row r="254" s="625" customFormat="1" ht="12" spans="1:13">
      <c r="A254" s="691" t="s">
        <v>415</v>
      </c>
      <c r="B254" s="651" t="s">
        <v>416</v>
      </c>
      <c r="C254" s="431" t="s">
        <v>417</v>
      </c>
      <c r="D254" s="651" t="s">
        <v>20</v>
      </c>
      <c r="E254" s="432">
        <v>7</v>
      </c>
      <c r="F254" s="670">
        <v>1.54</v>
      </c>
      <c r="G254" s="652">
        <f t="shared" si="34"/>
        <v>10.78</v>
      </c>
      <c r="H254" s="654"/>
      <c r="M254" s="695">
        <f t="shared" si="32"/>
        <v>997182.95</v>
      </c>
    </row>
    <row r="255" s="625" customFormat="1" ht="12" spans="1:13">
      <c r="A255" s="691" t="s">
        <v>418</v>
      </c>
      <c r="B255" s="651" t="s">
        <v>419</v>
      </c>
      <c r="C255" s="431" t="s">
        <v>420</v>
      </c>
      <c r="D255" s="651" t="s">
        <v>20</v>
      </c>
      <c r="E255" s="432">
        <v>7</v>
      </c>
      <c r="F255" s="670">
        <v>5.14</v>
      </c>
      <c r="G255" s="652">
        <f t="shared" si="34"/>
        <v>35.98</v>
      </c>
      <c r="H255" s="654"/>
      <c r="M255" s="695">
        <f t="shared" si="32"/>
        <v>997182.95</v>
      </c>
    </row>
    <row r="256" s="625" customFormat="1" ht="12" spans="1:13">
      <c r="A256" s="691"/>
      <c r="B256" s="651"/>
      <c r="C256" s="431"/>
      <c r="D256" s="651"/>
      <c r="E256" s="432"/>
      <c r="F256" s="670"/>
      <c r="G256" s="652"/>
      <c r="H256" s="654"/>
      <c r="M256" s="695">
        <f t="shared" si="32"/>
        <v>997182.95</v>
      </c>
    </row>
    <row r="257" s="625" customFormat="1" ht="12" spans="1:13">
      <c r="A257" s="691"/>
      <c r="B257" s="655" t="s">
        <v>85</v>
      </c>
      <c r="C257" s="433" t="s">
        <v>421</v>
      </c>
      <c r="D257" s="651"/>
      <c r="E257" s="432"/>
      <c r="F257" s="670"/>
      <c r="G257" s="652"/>
      <c r="H257" s="654"/>
      <c r="M257" s="695">
        <f t="shared" si="32"/>
        <v>997182.95</v>
      </c>
    </row>
    <row r="258" s="625" customFormat="1" ht="12" spans="1:13">
      <c r="A258" s="691" t="s">
        <v>384</v>
      </c>
      <c r="B258" s="651" t="s">
        <v>422</v>
      </c>
      <c r="C258" s="431" t="s">
        <v>386</v>
      </c>
      <c r="D258" s="651" t="s">
        <v>95</v>
      </c>
      <c r="E258" s="432">
        <f>'PB VI - Memorial'!G474</f>
        <v>16.89</v>
      </c>
      <c r="F258" s="670">
        <v>18.48</v>
      </c>
      <c r="G258" s="652">
        <f>ROUND(E258*F258,2)</f>
        <v>312.13</v>
      </c>
      <c r="H258" s="654"/>
      <c r="M258" s="695">
        <f t="shared" si="32"/>
        <v>997182.95</v>
      </c>
    </row>
    <row r="259" s="625" customFormat="1" ht="12" spans="1:13">
      <c r="A259" s="691" t="s">
        <v>387</v>
      </c>
      <c r="B259" s="651" t="s">
        <v>423</v>
      </c>
      <c r="C259" s="431" t="s">
        <v>389</v>
      </c>
      <c r="D259" s="651" t="s">
        <v>95</v>
      </c>
      <c r="E259" s="432">
        <f>'PB VI - Memorial'!G475</f>
        <v>3.08</v>
      </c>
      <c r="F259" s="670">
        <v>27.54</v>
      </c>
      <c r="G259" s="652">
        <f>ROUND(E259*F259,2)</f>
        <v>84.82</v>
      </c>
      <c r="H259" s="654"/>
      <c r="M259" s="695">
        <f t="shared" si="32"/>
        <v>997182.95</v>
      </c>
    </row>
    <row r="260" s="625" customFormat="1" ht="12" spans="1:13">
      <c r="A260" s="691" t="s">
        <v>424</v>
      </c>
      <c r="B260" s="651" t="s">
        <v>425</v>
      </c>
      <c r="C260" s="431" t="s">
        <v>417</v>
      </c>
      <c r="D260" s="651" t="s">
        <v>20</v>
      </c>
      <c r="E260" s="432">
        <v>6</v>
      </c>
      <c r="F260" s="670">
        <v>1.54</v>
      </c>
      <c r="G260" s="652">
        <f t="shared" ref="G260:G267" si="35">ROUND(E260*F260,2)</f>
        <v>9.24</v>
      </c>
      <c r="H260" s="654"/>
      <c r="M260" s="695">
        <f t="shared" si="32"/>
        <v>997182.95</v>
      </c>
    </row>
    <row r="261" s="625" customFormat="1" ht="12" spans="1:13">
      <c r="A261" s="691" t="s">
        <v>424</v>
      </c>
      <c r="B261" s="651" t="s">
        <v>426</v>
      </c>
      <c r="C261" s="431" t="s">
        <v>427</v>
      </c>
      <c r="D261" s="651" t="s">
        <v>20</v>
      </c>
      <c r="E261" s="432">
        <v>1</v>
      </c>
      <c r="F261" s="670">
        <v>3.91</v>
      </c>
      <c r="G261" s="652">
        <f t="shared" ref="G261" si="36">ROUND(E261*F261,2)</f>
        <v>3.91</v>
      </c>
      <c r="H261" s="654"/>
      <c r="M261" s="695"/>
    </row>
    <row r="262" s="625" customFormat="1" ht="12" spans="1:13">
      <c r="A262" s="691" t="s">
        <v>428</v>
      </c>
      <c r="B262" s="651" t="s">
        <v>429</v>
      </c>
      <c r="C262" s="431" t="s">
        <v>430</v>
      </c>
      <c r="D262" s="651" t="s">
        <v>20</v>
      </c>
      <c r="E262" s="432">
        <v>6</v>
      </c>
      <c r="F262" s="670">
        <v>8.72</v>
      </c>
      <c r="G262" s="652">
        <f t="shared" si="35"/>
        <v>52.32</v>
      </c>
      <c r="H262" s="654"/>
      <c r="M262" s="695">
        <f>$F$432</f>
        <v>997182.95</v>
      </c>
    </row>
    <row r="263" s="625" customFormat="1" ht="12" spans="1:13">
      <c r="A263" s="651">
        <v>11656</v>
      </c>
      <c r="B263" s="651" t="s">
        <v>431</v>
      </c>
      <c r="C263" s="650" t="s">
        <v>432</v>
      </c>
      <c r="D263" s="651" t="s">
        <v>20</v>
      </c>
      <c r="E263" s="432">
        <v>1</v>
      </c>
      <c r="F263" s="670">
        <v>8.98</v>
      </c>
      <c r="G263" s="652">
        <f t="shared" si="35"/>
        <v>8.98</v>
      </c>
      <c r="H263" s="654"/>
      <c r="M263" s="695">
        <f>$F$432</f>
        <v>997182.95</v>
      </c>
    </row>
    <row r="264" s="625" customFormat="1" ht="12" spans="1:13">
      <c r="A264" s="692"/>
      <c r="B264" s="669"/>
      <c r="C264" s="692"/>
      <c r="D264" s="669"/>
      <c r="E264" s="675"/>
      <c r="F264" s="690"/>
      <c r="G264" s="690"/>
      <c r="H264" s="654"/>
      <c r="M264" s="695">
        <f>$F$432</f>
        <v>997182.95</v>
      </c>
    </row>
    <row r="265" s="625" customFormat="1" ht="12" spans="1:13">
      <c r="A265" s="692"/>
      <c r="B265" s="655" t="s">
        <v>98</v>
      </c>
      <c r="C265" s="433" t="s">
        <v>433</v>
      </c>
      <c r="D265" s="669"/>
      <c r="E265" s="675"/>
      <c r="F265" s="690"/>
      <c r="G265" s="690"/>
      <c r="H265" s="654"/>
      <c r="M265" s="695"/>
    </row>
    <row r="266" s="625" customFormat="1" ht="56.25" spans="1:16384">
      <c r="A266" s="691">
        <v>95463</v>
      </c>
      <c r="B266" s="651" t="s">
        <v>434</v>
      </c>
      <c r="C266" s="751" t="s">
        <v>435</v>
      </c>
      <c r="D266" s="651" t="s">
        <v>20</v>
      </c>
      <c r="E266" s="432">
        <v>1</v>
      </c>
      <c r="F266" s="670">
        <v>1337.28</v>
      </c>
      <c r="G266" s="432">
        <f t="shared" si="35"/>
        <v>1337.28</v>
      </c>
      <c r="BB266" s="651"/>
      <c r="BC266" s="691"/>
      <c r="BD266" s="651"/>
      <c r="BE266" s="691"/>
      <c r="BF266" s="651"/>
      <c r="BG266" s="691"/>
      <c r="BH266" s="651"/>
      <c r="BI266" s="691"/>
      <c r="BJ266" s="651"/>
      <c r="BK266" s="691"/>
      <c r="BL266" s="651"/>
      <c r="BM266" s="691"/>
      <c r="BN266" s="651"/>
      <c r="BO266" s="691"/>
      <c r="BP266" s="651"/>
      <c r="BQ266" s="691"/>
      <c r="BR266" s="651"/>
      <c r="BS266" s="691"/>
      <c r="BT266" s="651"/>
      <c r="BU266" s="691"/>
      <c r="BV266" s="651"/>
      <c r="BW266" s="691"/>
      <c r="BX266" s="651"/>
      <c r="BY266" s="691"/>
      <c r="BZ266" s="651"/>
      <c r="CA266" s="691"/>
      <c r="CB266" s="651"/>
      <c r="CC266" s="691"/>
      <c r="CD266" s="651"/>
      <c r="CE266" s="691"/>
      <c r="CF266" s="651"/>
      <c r="CG266" s="691"/>
      <c r="CH266" s="651"/>
      <c r="CI266" s="691"/>
      <c r="CJ266" s="651"/>
      <c r="CK266" s="691"/>
      <c r="CL266" s="651"/>
      <c r="CM266" s="691"/>
      <c r="CN266" s="651"/>
      <c r="CO266" s="691"/>
      <c r="CP266" s="651"/>
      <c r="CQ266" s="691"/>
      <c r="CR266" s="651"/>
      <c r="CS266" s="691"/>
      <c r="CT266" s="651"/>
      <c r="CU266" s="691"/>
      <c r="CV266" s="651"/>
      <c r="CW266" s="691"/>
      <c r="CX266" s="651"/>
      <c r="CY266" s="691"/>
      <c r="CZ266" s="651"/>
      <c r="DA266" s="691"/>
      <c r="DB266" s="651"/>
      <c r="DC266" s="691"/>
      <c r="DD266" s="651"/>
      <c r="DE266" s="691"/>
      <c r="DF266" s="651"/>
      <c r="DG266" s="691"/>
      <c r="DH266" s="651"/>
      <c r="DI266" s="691"/>
      <c r="DJ266" s="651"/>
      <c r="DK266" s="691"/>
      <c r="DL266" s="651"/>
      <c r="DM266" s="691"/>
      <c r="DN266" s="651"/>
      <c r="DO266" s="691"/>
      <c r="DP266" s="651"/>
      <c r="DQ266" s="691"/>
      <c r="DR266" s="651"/>
      <c r="DS266" s="691"/>
      <c r="DT266" s="651"/>
      <c r="DU266" s="691"/>
      <c r="DV266" s="651"/>
      <c r="DW266" s="691"/>
      <c r="DX266" s="651"/>
      <c r="DY266" s="691"/>
      <c r="DZ266" s="651"/>
      <c r="EA266" s="691"/>
      <c r="EB266" s="651"/>
      <c r="EC266" s="691"/>
      <c r="ED266" s="651"/>
      <c r="EE266" s="691"/>
      <c r="EF266" s="651"/>
      <c r="EG266" s="691"/>
      <c r="EH266" s="651"/>
      <c r="EI266" s="691"/>
      <c r="EJ266" s="651"/>
      <c r="EK266" s="691"/>
      <c r="EL266" s="651"/>
      <c r="EM266" s="691"/>
      <c r="EN266" s="651"/>
      <c r="EO266" s="691"/>
      <c r="EP266" s="651"/>
      <c r="EQ266" s="691"/>
      <c r="ER266" s="651"/>
      <c r="ES266" s="691"/>
      <c r="ET266" s="651"/>
      <c r="EU266" s="691"/>
      <c r="EV266" s="651"/>
      <c r="EW266" s="691"/>
      <c r="EX266" s="651"/>
      <c r="EY266" s="691"/>
      <c r="EZ266" s="651"/>
      <c r="FA266" s="691"/>
      <c r="FB266" s="651"/>
      <c r="FC266" s="691"/>
      <c r="FD266" s="651"/>
      <c r="FE266" s="691"/>
      <c r="FF266" s="651"/>
      <c r="FG266" s="691"/>
      <c r="FH266" s="651"/>
      <c r="FI266" s="691"/>
      <c r="FJ266" s="651"/>
      <c r="FK266" s="691"/>
      <c r="FL266" s="651"/>
      <c r="FM266" s="691"/>
      <c r="FN266" s="651"/>
      <c r="FO266" s="691"/>
      <c r="FP266" s="651"/>
      <c r="FQ266" s="691"/>
      <c r="FR266" s="651"/>
      <c r="FS266" s="691"/>
      <c r="FT266" s="651"/>
      <c r="FU266" s="691"/>
      <c r="FV266" s="651"/>
      <c r="FW266" s="691"/>
      <c r="FX266" s="651"/>
      <c r="FY266" s="691"/>
      <c r="FZ266" s="651"/>
      <c r="GA266" s="691"/>
      <c r="GB266" s="651"/>
      <c r="GC266" s="691"/>
      <c r="GD266" s="651"/>
      <c r="GE266" s="691"/>
      <c r="GF266" s="651"/>
      <c r="GG266" s="691"/>
      <c r="GH266" s="651"/>
      <c r="GI266" s="691"/>
      <c r="GJ266" s="651"/>
      <c r="GK266" s="691"/>
      <c r="GL266" s="651"/>
      <c r="GM266" s="691"/>
      <c r="GN266" s="651"/>
      <c r="GO266" s="691"/>
      <c r="GP266" s="651"/>
      <c r="GQ266" s="691"/>
      <c r="GR266" s="651"/>
      <c r="GS266" s="691"/>
      <c r="GT266" s="651"/>
      <c r="GU266" s="691"/>
      <c r="GV266" s="651"/>
      <c r="GW266" s="691"/>
      <c r="GX266" s="651"/>
      <c r="GY266" s="691"/>
      <c r="GZ266" s="651"/>
      <c r="HA266" s="691"/>
      <c r="HB266" s="651"/>
      <c r="HC266" s="691"/>
      <c r="HD266" s="651"/>
      <c r="HE266" s="691"/>
      <c r="HF266" s="651"/>
      <c r="HG266" s="691"/>
      <c r="HH266" s="651"/>
      <c r="HI266" s="691"/>
      <c r="HJ266" s="651"/>
      <c r="HK266" s="691"/>
      <c r="HL266" s="651"/>
      <c r="HM266" s="691"/>
      <c r="HN266" s="651"/>
      <c r="HO266" s="691"/>
      <c r="HP266" s="651"/>
      <c r="HQ266" s="691"/>
      <c r="HR266" s="651"/>
      <c r="HS266" s="691"/>
      <c r="HT266" s="651"/>
      <c r="HU266" s="691"/>
      <c r="HV266" s="651"/>
      <c r="HW266" s="691"/>
      <c r="HX266" s="651"/>
      <c r="HY266" s="691"/>
      <c r="HZ266" s="651"/>
      <c r="IA266" s="691"/>
      <c r="IB266" s="651"/>
      <c r="IC266" s="691"/>
      <c r="ID266" s="651"/>
      <c r="IE266" s="691"/>
      <c r="IF266" s="651"/>
      <c r="IG266" s="691"/>
      <c r="IH266" s="651"/>
      <c r="II266" s="691"/>
      <c r="IJ266" s="651"/>
      <c r="IK266" s="691"/>
      <c r="IL266" s="651"/>
      <c r="IM266" s="691"/>
      <c r="IN266" s="651"/>
      <c r="IO266" s="691"/>
      <c r="IP266" s="651"/>
      <c r="IQ266" s="691"/>
      <c r="IR266" s="651"/>
      <c r="IS266" s="691"/>
      <c r="IT266" s="651"/>
      <c r="IU266" s="691"/>
      <c r="IV266" s="651"/>
      <c r="IW266" s="691"/>
      <c r="IX266" s="651"/>
      <c r="IY266" s="691"/>
      <c r="IZ266" s="651"/>
      <c r="JA266" s="691"/>
      <c r="JB266" s="651"/>
      <c r="JC266" s="691"/>
      <c r="JD266" s="651"/>
      <c r="JE266" s="691"/>
      <c r="JF266" s="651"/>
      <c r="JG266" s="691"/>
      <c r="JH266" s="651"/>
      <c r="JI266" s="691"/>
      <c r="JJ266" s="651"/>
      <c r="JK266" s="691"/>
      <c r="JL266" s="651"/>
      <c r="JM266" s="691"/>
      <c r="JN266" s="651"/>
      <c r="JO266" s="691"/>
      <c r="JP266" s="651"/>
      <c r="JQ266" s="691"/>
      <c r="JR266" s="651"/>
      <c r="JS266" s="691"/>
      <c r="JT266" s="651"/>
      <c r="JU266" s="691"/>
      <c r="JV266" s="651"/>
      <c r="JW266" s="691"/>
      <c r="JX266" s="651"/>
      <c r="JY266" s="691"/>
      <c r="JZ266" s="651"/>
      <c r="KA266" s="691"/>
      <c r="KB266" s="651"/>
      <c r="KC266" s="691"/>
      <c r="KD266" s="651"/>
      <c r="KE266" s="691"/>
      <c r="KF266" s="651"/>
      <c r="KG266" s="691"/>
      <c r="KH266" s="651"/>
      <c r="KI266" s="691"/>
      <c r="KJ266" s="651"/>
      <c r="KK266" s="691"/>
      <c r="KL266" s="651"/>
      <c r="KM266" s="691"/>
      <c r="KN266" s="651"/>
      <c r="KO266" s="691"/>
      <c r="KP266" s="651"/>
      <c r="KQ266" s="691"/>
      <c r="KR266" s="651"/>
      <c r="KS266" s="691"/>
      <c r="KT266" s="651"/>
      <c r="KU266" s="691"/>
      <c r="KV266" s="651"/>
      <c r="KW266" s="691"/>
      <c r="KX266" s="651"/>
      <c r="KY266" s="691"/>
      <c r="KZ266" s="651"/>
      <c r="LA266" s="691"/>
      <c r="LB266" s="651"/>
      <c r="LC266" s="691"/>
      <c r="LD266" s="651"/>
      <c r="LE266" s="691"/>
      <c r="LF266" s="651"/>
      <c r="LG266" s="691"/>
      <c r="LH266" s="651"/>
      <c r="LI266" s="691"/>
      <c r="LJ266" s="651"/>
      <c r="LK266" s="691"/>
      <c r="LL266" s="651"/>
      <c r="LM266" s="691"/>
      <c r="LN266" s="651"/>
      <c r="LO266" s="691"/>
      <c r="LP266" s="651"/>
      <c r="LQ266" s="691"/>
      <c r="LR266" s="651"/>
      <c r="LS266" s="691"/>
      <c r="LT266" s="651"/>
      <c r="LU266" s="691"/>
      <c r="LV266" s="651"/>
      <c r="LW266" s="691"/>
      <c r="LX266" s="651"/>
      <c r="LY266" s="691"/>
      <c r="LZ266" s="651"/>
      <c r="MA266" s="691"/>
      <c r="MB266" s="651"/>
      <c r="MC266" s="691"/>
      <c r="MD266" s="651"/>
      <c r="ME266" s="691"/>
      <c r="MF266" s="651"/>
      <c r="MG266" s="691"/>
      <c r="MH266" s="651"/>
      <c r="MI266" s="691"/>
      <c r="MJ266" s="651"/>
      <c r="MK266" s="691"/>
      <c r="ML266" s="651"/>
      <c r="MM266" s="691"/>
      <c r="MN266" s="651"/>
      <c r="MO266" s="691"/>
      <c r="MP266" s="651"/>
      <c r="MQ266" s="691"/>
      <c r="MR266" s="651"/>
      <c r="MS266" s="691"/>
      <c r="MT266" s="651"/>
      <c r="MU266" s="691"/>
      <c r="MV266" s="651"/>
      <c r="MW266" s="691"/>
      <c r="MX266" s="651"/>
      <c r="MY266" s="691"/>
      <c r="MZ266" s="651"/>
      <c r="NA266" s="691"/>
      <c r="NB266" s="651"/>
      <c r="NC266" s="691"/>
      <c r="ND266" s="651"/>
      <c r="NE266" s="691"/>
      <c r="NF266" s="651"/>
      <c r="NG266" s="691"/>
      <c r="NH266" s="651"/>
      <c r="NI266" s="691"/>
      <c r="NJ266" s="651"/>
      <c r="NK266" s="691"/>
      <c r="NL266" s="651"/>
      <c r="NM266" s="691"/>
      <c r="NN266" s="651"/>
      <c r="NO266" s="691"/>
      <c r="NP266" s="651"/>
      <c r="NQ266" s="691"/>
      <c r="NR266" s="651"/>
      <c r="NS266" s="691"/>
      <c r="NT266" s="651"/>
      <c r="NU266" s="691"/>
      <c r="NV266" s="651"/>
      <c r="NW266" s="691"/>
      <c r="NX266" s="651"/>
      <c r="NY266" s="691"/>
      <c r="NZ266" s="651"/>
      <c r="OA266" s="691"/>
      <c r="OB266" s="651"/>
      <c r="OC266" s="691"/>
      <c r="OD266" s="651"/>
      <c r="OE266" s="691"/>
      <c r="OF266" s="651"/>
      <c r="OG266" s="691"/>
      <c r="OH266" s="651"/>
      <c r="OI266" s="691"/>
      <c r="OJ266" s="651"/>
      <c r="OK266" s="691"/>
      <c r="OL266" s="651"/>
      <c r="OM266" s="691"/>
      <c r="ON266" s="651"/>
      <c r="OO266" s="691"/>
      <c r="OP266" s="651"/>
      <c r="OQ266" s="691"/>
      <c r="OR266" s="651"/>
      <c r="OS266" s="691"/>
      <c r="OT266" s="651"/>
      <c r="OU266" s="691"/>
      <c r="OV266" s="651"/>
      <c r="OW266" s="691"/>
      <c r="OX266" s="651"/>
      <c r="OY266" s="691"/>
      <c r="OZ266" s="651"/>
      <c r="PA266" s="691"/>
      <c r="PB266" s="651"/>
      <c r="PC266" s="691"/>
      <c r="PD266" s="651"/>
      <c r="PE266" s="691"/>
      <c r="PF266" s="651"/>
      <c r="PG266" s="691"/>
      <c r="PH266" s="651"/>
      <c r="PI266" s="691"/>
      <c r="PJ266" s="651"/>
      <c r="PK266" s="691"/>
      <c r="PL266" s="651"/>
      <c r="PM266" s="691"/>
      <c r="PN266" s="651"/>
      <c r="PO266" s="691"/>
      <c r="PP266" s="651"/>
      <c r="PQ266" s="691"/>
      <c r="PR266" s="651"/>
      <c r="PS266" s="691"/>
      <c r="PT266" s="651"/>
      <c r="PU266" s="691"/>
      <c r="PV266" s="651"/>
      <c r="PW266" s="691"/>
      <c r="PX266" s="651"/>
      <c r="PY266" s="691"/>
      <c r="PZ266" s="651"/>
      <c r="QA266" s="691"/>
      <c r="QB266" s="651"/>
      <c r="QC266" s="691"/>
      <c r="QD266" s="651"/>
      <c r="QE266" s="691"/>
      <c r="QF266" s="651"/>
      <c r="QG266" s="691"/>
      <c r="QH266" s="651"/>
      <c r="QI266" s="691"/>
      <c r="QJ266" s="651"/>
      <c r="QK266" s="691"/>
      <c r="QL266" s="651"/>
      <c r="QM266" s="691"/>
      <c r="QN266" s="651"/>
      <c r="QO266" s="691"/>
      <c r="QP266" s="651"/>
      <c r="QQ266" s="691"/>
      <c r="QR266" s="651"/>
      <c r="QS266" s="691"/>
      <c r="QT266" s="651"/>
      <c r="QU266" s="691"/>
      <c r="QV266" s="651"/>
      <c r="QW266" s="691"/>
      <c r="QX266" s="651"/>
      <c r="QY266" s="691"/>
      <c r="QZ266" s="651"/>
      <c r="RA266" s="691"/>
      <c r="RB266" s="651"/>
      <c r="RC266" s="691"/>
      <c r="RD266" s="651"/>
      <c r="RE266" s="691"/>
      <c r="RF266" s="651"/>
      <c r="RG266" s="691"/>
      <c r="RH266" s="651"/>
      <c r="RI266" s="691"/>
      <c r="RJ266" s="651"/>
      <c r="RK266" s="691"/>
      <c r="RL266" s="651"/>
      <c r="RM266" s="691"/>
      <c r="RN266" s="651"/>
      <c r="RO266" s="691"/>
      <c r="RP266" s="651"/>
      <c r="RQ266" s="691"/>
      <c r="RR266" s="651"/>
      <c r="RS266" s="691"/>
      <c r="RT266" s="651"/>
      <c r="RU266" s="691"/>
      <c r="RV266" s="651"/>
      <c r="RW266" s="691"/>
      <c r="RX266" s="651"/>
      <c r="RY266" s="691"/>
      <c r="RZ266" s="651"/>
      <c r="SA266" s="691"/>
      <c r="SB266" s="651"/>
      <c r="SC266" s="691"/>
      <c r="SD266" s="651"/>
      <c r="SE266" s="691"/>
      <c r="SF266" s="651"/>
      <c r="SG266" s="691"/>
      <c r="SH266" s="651"/>
      <c r="SI266" s="691"/>
      <c r="SJ266" s="651"/>
      <c r="SK266" s="691"/>
      <c r="SL266" s="651"/>
      <c r="SM266" s="691"/>
      <c r="SN266" s="651"/>
      <c r="SO266" s="691"/>
      <c r="SP266" s="651"/>
      <c r="SQ266" s="691"/>
      <c r="SR266" s="651"/>
      <c r="SS266" s="691"/>
      <c r="ST266" s="651"/>
      <c r="SU266" s="691"/>
      <c r="SV266" s="651"/>
      <c r="SW266" s="691"/>
      <c r="SX266" s="651"/>
      <c r="SY266" s="691"/>
      <c r="SZ266" s="651"/>
      <c r="TA266" s="691"/>
      <c r="TB266" s="651"/>
      <c r="TC266" s="691"/>
      <c r="TD266" s="651"/>
      <c r="TE266" s="691"/>
      <c r="TF266" s="651"/>
      <c r="TG266" s="691"/>
      <c r="TH266" s="651"/>
      <c r="TI266" s="691"/>
      <c r="TJ266" s="651"/>
      <c r="TK266" s="691"/>
      <c r="TL266" s="651"/>
      <c r="TM266" s="691"/>
      <c r="TN266" s="651"/>
      <c r="TO266" s="691"/>
      <c r="TP266" s="651"/>
      <c r="TQ266" s="691"/>
      <c r="TR266" s="651"/>
      <c r="TS266" s="691"/>
      <c r="TT266" s="651"/>
      <c r="TU266" s="691"/>
      <c r="TV266" s="651"/>
      <c r="TW266" s="691"/>
      <c r="TX266" s="651"/>
      <c r="TY266" s="691"/>
      <c r="TZ266" s="651"/>
      <c r="UA266" s="691"/>
      <c r="UB266" s="651"/>
      <c r="UC266" s="691"/>
      <c r="UD266" s="651"/>
      <c r="UE266" s="691"/>
      <c r="UF266" s="651"/>
      <c r="UG266" s="691"/>
      <c r="UH266" s="651"/>
      <c r="UI266" s="691"/>
      <c r="UJ266" s="651"/>
      <c r="UK266" s="691"/>
      <c r="UL266" s="651"/>
      <c r="UM266" s="691"/>
      <c r="UN266" s="651"/>
      <c r="UO266" s="691"/>
      <c r="UP266" s="651"/>
      <c r="UQ266" s="691"/>
      <c r="UR266" s="651"/>
      <c r="US266" s="691"/>
      <c r="UT266" s="651"/>
      <c r="UU266" s="691"/>
      <c r="UV266" s="651"/>
      <c r="UW266" s="691"/>
      <c r="UX266" s="651"/>
      <c r="UY266" s="691"/>
      <c r="UZ266" s="651"/>
      <c r="VA266" s="691"/>
      <c r="VB266" s="651"/>
      <c r="VC266" s="691"/>
      <c r="VD266" s="651"/>
      <c r="VE266" s="691"/>
      <c r="VF266" s="651"/>
      <c r="VG266" s="691"/>
      <c r="VH266" s="651"/>
      <c r="VI266" s="691"/>
      <c r="VJ266" s="651"/>
      <c r="VK266" s="691"/>
      <c r="VL266" s="651"/>
      <c r="VM266" s="691"/>
      <c r="VN266" s="651"/>
      <c r="VO266" s="691"/>
      <c r="VP266" s="651"/>
      <c r="VQ266" s="691"/>
      <c r="VR266" s="651"/>
      <c r="VS266" s="691"/>
      <c r="VT266" s="651"/>
      <c r="VU266" s="691"/>
      <c r="VV266" s="651"/>
      <c r="VW266" s="691"/>
      <c r="VX266" s="651"/>
      <c r="VY266" s="691"/>
      <c r="VZ266" s="651"/>
      <c r="WA266" s="691"/>
      <c r="WB266" s="651"/>
      <c r="WC266" s="691"/>
      <c r="WD266" s="651"/>
      <c r="WE266" s="691"/>
      <c r="WF266" s="651"/>
      <c r="WG266" s="691"/>
      <c r="WH266" s="651"/>
      <c r="WI266" s="691"/>
      <c r="WJ266" s="651"/>
      <c r="WK266" s="691"/>
      <c r="WL266" s="651"/>
      <c r="WM266" s="691"/>
      <c r="WN266" s="651"/>
      <c r="WO266" s="691"/>
      <c r="WP266" s="651"/>
      <c r="WQ266" s="691"/>
      <c r="WR266" s="651"/>
      <c r="WS266" s="691"/>
      <c r="WT266" s="651"/>
      <c r="WU266" s="691"/>
      <c r="WV266" s="651"/>
      <c r="WW266" s="691"/>
      <c r="WX266" s="651"/>
      <c r="WY266" s="691"/>
      <c r="WZ266" s="651"/>
      <c r="XA266" s="691"/>
      <c r="XB266" s="651"/>
      <c r="XC266" s="691"/>
      <c r="XD266" s="651"/>
      <c r="XE266" s="691"/>
      <c r="XF266" s="651"/>
      <c r="XG266" s="691"/>
      <c r="XH266" s="651"/>
      <c r="XI266" s="691"/>
      <c r="XJ266" s="651"/>
      <c r="XK266" s="691"/>
      <c r="XL266" s="651"/>
      <c r="XM266" s="691"/>
      <c r="XN266" s="651"/>
      <c r="XO266" s="691"/>
      <c r="XP266" s="651"/>
      <c r="XQ266" s="691"/>
      <c r="XR266" s="651"/>
      <c r="XS266" s="691"/>
      <c r="XT266" s="651"/>
      <c r="XU266" s="691"/>
      <c r="XV266" s="651"/>
      <c r="XW266" s="691"/>
      <c r="XX266" s="651"/>
      <c r="XY266" s="691"/>
      <c r="XZ266" s="651"/>
      <c r="YA266" s="691"/>
      <c r="YB266" s="651"/>
      <c r="YC266" s="691"/>
      <c r="YD266" s="651"/>
      <c r="YE266" s="691"/>
      <c r="YF266" s="651"/>
      <c r="YG266" s="691"/>
      <c r="YH266" s="651"/>
      <c r="YI266" s="691"/>
      <c r="YJ266" s="651"/>
      <c r="YK266" s="691"/>
      <c r="YL266" s="651"/>
      <c r="YM266" s="691"/>
      <c r="YN266" s="651"/>
      <c r="YO266" s="691"/>
      <c r="YP266" s="651"/>
      <c r="YQ266" s="691"/>
      <c r="YR266" s="651"/>
      <c r="YS266" s="691"/>
      <c r="YT266" s="651"/>
      <c r="YU266" s="691"/>
      <c r="YV266" s="651"/>
      <c r="YW266" s="691"/>
      <c r="YX266" s="651"/>
      <c r="YY266" s="691"/>
      <c r="YZ266" s="651"/>
      <c r="ZA266" s="691"/>
      <c r="ZB266" s="651"/>
      <c r="ZC266" s="691"/>
      <c r="ZD266" s="651"/>
      <c r="ZE266" s="691"/>
      <c r="ZF266" s="651"/>
      <c r="ZG266" s="691"/>
      <c r="ZH266" s="651"/>
      <c r="ZI266" s="691"/>
      <c r="ZJ266" s="651"/>
      <c r="ZK266" s="691"/>
      <c r="ZL266" s="651"/>
      <c r="ZM266" s="691"/>
      <c r="ZN266" s="651"/>
      <c r="ZO266" s="691"/>
      <c r="ZP266" s="651"/>
      <c r="ZQ266" s="691"/>
      <c r="ZR266" s="651"/>
      <c r="ZS266" s="691"/>
      <c r="ZT266" s="651"/>
      <c r="ZU266" s="691"/>
      <c r="ZV266" s="651"/>
      <c r="ZW266" s="691"/>
      <c r="ZX266" s="651"/>
      <c r="ZY266" s="691"/>
      <c r="ZZ266" s="651"/>
      <c r="AAA266" s="691"/>
      <c r="AAB266" s="651"/>
      <c r="AAC266" s="691"/>
      <c r="AAD266" s="651"/>
      <c r="AAE266" s="691"/>
      <c r="AAF266" s="651"/>
      <c r="AAG266" s="691"/>
      <c r="AAH266" s="651"/>
      <c r="AAI266" s="691"/>
      <c r="AAJ266" s="651"/>
      <c r="AAK266" s="691"/>
      <c r="AAL266" s="651"/>
      <c r="AAM266" s="691"/>
      <c r="AAN266" s="651"/>
      <c r="AAO266" s="691"/>
      <c r="AAP266" s="651"/>
      <c r="AAQ266" s="691"/>
      <c r="AAR266" s="651"/>
      <c r="AAS266" s="691"/>
      <c r="AAT266" s="651"/>
      <c r="AAU266" s="691"/>
      <c r="AAV266" s="651"/>
      <c r="AAW266" s="691"/>
      <c r="AAX266" s="651"/>
      <c r="AAY266" s="691"/>
      <c r="AAZ266" s="651"/>
      <c r="ABA266" s="691"/>
      <c r="ABB266" s="651"/>
      <c r="ABC266" s="691"/>
      <c r="ABD266" s="651"/>
      <c r="ABE266" s="691"/>
      <c r="ABF266" s="651"/>
      <c r="ABG266" s="691"/>
      <c r="ABH266" s="651"/>
      <c r="ABI266" s="691"/>
      <c r="ABJ266" s="651"/>
      <c r="ABK266" s="691"/>
      <c r="ABL266" s="651"/>
      <c r="ABM266" s="691"/>
      <c r="ABN266" s="651"/>
      <c r="ABO266" s="691"/>
      <c r="ABP266" s="651"/>
      <c r="ABQ266" s="691"/>
      <c r="ABR266" s="651"/>
      <c r="ABS266" s="691"/>
      <c r="ABT266" s="651"/>
      <c r="ABU266" s="691"/>
      <c r="ABV266" s="651"/>
      <c r="ABW266" s="691"/>
      <c r="ABX266" s="651"/>
      <c r="ABY266" s="691"/>
      <c r="ABZ266" s="651"/>
      <c r="ACA266" s="691"/>
      <c r="ACB266" s="651"/>
      <c r="ACC266" s="691"/>
      <c r="ACD266" s="651"/>
      <c r="ACE266" s="691"/>
      <c r="ACF266" s="651"/>
      <c r="ACG266" s="691"/>
      <c r="ACH266" s="651"/>
      <c r="ACI266" s="691"/>
      <c r="ACJ266" s="651"/>
      <c r="ACK266" s="691"/>
      <c r="ACL266" s="651"/>
      <c r="ACM266" s="691"/>
      <c r="ACN266" s="651"/>
      <c r="ACO266" s="691"/>
      <c r="ACP266" s="651"/>
      <c r="ACQ266" s="691"/>
      <c r="ACR266" s="651"/>
      <c r="ACS266" s="691"/>
      <c r="ACT266" s="651"/>
      <c r="ACU266" s="691"/>
      <c r="ACV266" s="651"/>
      <c r="ACW266" s="691"/>
      <c r="ACX266" s="651"/>
      <c r="ACY266" s="691"/>
      <c r="ACZ266" s="651"/>
      <c r="ADA266" s="691"/>
      <c r="ADB266" s="651"/>
      <c r="ADC266" s="691"/>
      <c r="ADD266" s="651"/>
      <c r="ADE266" s="691"/>
      <c r="ADF266" s="651"/>
      <c r="ADG266" s="691"/>
      <c r="ADH266" s="651"/>
      <c r="ADI266" s="691"/>
      <c r="ADJ266" s="651"/>
      <c r="ADK266" s="691"/>
      <c r="ADL266" s="651"/>
      <c r="ADM266" s="691"/>
      <c r="ADN266" s="651"/>
      <c r="ADO266" s="691"/>
      <c r="ADP266" s="651"/>
      <c r="ADQ266" s="691"/>
      <c r="ADR266" s="651"/>
      <c r="ADS266" s="691"/>
      <c r="ADT266" s="651"/>
      <c r="ADU266" s="691"/>
      <c r="ADV266" s="651"/>
      <c r="ADW266" s="691"/>
      <c r="ADX266" s="651"/>
      <c r="ADY266" s="691"/>
      <c r="ADZ266" s="651"/>
      <c r="AEA266" s="691"/>
      <c r="AEB266" s="651"/>
      <c r="AEC266" s="691"/>
      <c r="AED266" s="651"/>
      <c r="AEE266" s="691"/>
      <c r="AEF266" s="651"/>
      <c r="AEG266" s="691"/>
      <c r="AEH266" s="651"/>
      <c r="AEI266" s="691"/>
      <c r="AEJ266" s="651"/>
      <c r="AEK266" s="691"/>
      <c r="AEL266" s="651"/>
      <c r="AEM266" s="691"/>
      <c r="AEN266" s="651"/>
      <c r="AEO266" s="691"/>
      <c r="AEP266" s="651"/>
      <c r="AEQ266" s="691"/>
      <c r="AER266" s="651"/>
      <c r="AES266" s="691"/>
      <c r="AET266" s="651"/>
      <c r="AEU266" s="691"/>
      <c r="AEV266" s="651"/>
      <c r="AEW266" s="691"/>
      <c r="AEX266" s="651"/>
      <c r="AEY266" s="691"/>
      <c r="AEZ266" s="651"/>
      <c r="AFA266" s="691"/>
      <c r="AFB266" s="651"/>
      <c r="AFC266" s="691"/>
      <c r="AFD266" s="651"/>
      <c r="AFE266" s="691"/>
      <c r="AFF266" s="651"/>
      <c r="AFG266" s="691"/>
      <c r="AFH266" s="651"/>
      <c r="AFI266" s="691"/>
      <c r="AFJ266" s="651"/>
      <c r="AFK266" s="691"/>
      <c r="AFL266" s="651"/>
      <c r="AFM266" s="691"/>
      <c r="AFN266" s="651"/>
      <c r="AFO266" s="691"/>
      <c r="AFP266" s="651"/>
      <c r="AFQ266" s="691"/>
      <c r="AFR266" s="651"/>
      <c r="AFS266" s="691"/>
      <c r="AFT266" s="651"/>
      <c r="AFU266" s="691"/>
      <c r="AFV266" s="651"/>
      <c r="AFW266" s="691"/>
      <c r="AFX266" s="651"/>
      <c r="AFY266" s="691"/>
      <c r="AFZ266" s="651"/>
      <c r="AGA266" s="691"/>
      <c r="AGB266" s="651"/>
      <c r="AGC266" s="691"/>
      <c r="AGD266" s="651"/>
      <c r="AGE266" s="691"/>
      <c r="AGF266" s="651"/>
      <c r="AGG266" s="691"/>
      <c r="AGH266" s="651"/>
      <c r="AGI266" s="691"/>
      <c r="AGJ266" s="651"/>
      <c r="AGK266" s="691"/>
      <c r="AGL266" s="651"/>
      <c r="AGM266" s="691"/>
      <c r="AGN266" s="651"/>
      <c r="AGO266" s="691"/>
      <c r="AGP266" s="651"/>
      <c r="AGQ266" s="691"/>
      <c r="AGR266" s="651"/>
      <c r="AGS266" s="691"/>
      <c r="AGT266" s="651"/>
      <c r="AGU266" s="691"/>
      <c r="AGV266" s="651"/>
      <c r="AGW266" s="691"/>
      <c r="AGX266" s="651"/>
      <c r="AGY266" s="691"/>
      <c r="AGZ266" s="651"/>
      <c r="AHA266" s="691"/>
      <c r="AHB266" s="651"/>
      <c r="AHC266" s="691"/>
      <c r="AHD266" s="651"/>
      <c r="AHE266" s="691"/>
      <c r="AHF266" s="651"/>
      <c r="AHG266" s="691"/>
      <c r="AHH266" s="651"/>
      <c r="AHI266" s="691"/>
      <c r="AHJ266" s="651"/>
      <c r="AHK266" s="691"/>
      <c r="AHL266" s="651"/>
      <c r="AHM266" s="691"/>
      <c r="AHN266" s="651"/>
      <c r="AHO266" s="691"/>
      <c r="AHP266" s="651"/>
      <c r="AHQ266" s="691"/>
      <c r="AHR266" s="651"/>
      <c r="AHS266" s="691"/>
      <c r="AHT266" s="651"/>
      <c r="AHU266" s="691"/>
      <c r="AHV266" s="651"/>
      <c r="AHW266" s="691"/>
      <c r="AHX266" s="651"/>
      <c r="AHY266" s="691"/>
      <c r="AHZ266" s="651"/>
      <c r="AIA266" s="691"/>
      <c r="AIB266" s="651"/>
      <c r="AIC266" s="691"/>
      <c r="AID266" s="651"/>
      <c r="AIE266" s="691"/>
      <c r="AIF266" s="651"/>
      <c r="AIG266" s="691"/>
      <c r="AIH266" s="651"/>
      <c r="AII266" s="691"/>
      <c r="AIJ266" s="651"/>
      <c r="AIK266" s="691"/>
      <c r="AIL266" s="651"/>
      <c r="AIM266" s="691"/>
      <c r="AIN266" s="651"/>
      <c r="AIO266" s="691"/>
      <c r="AIP266" s="651"/>
      <c r="AIQ266" s="691"/>
      <c r="AIR266" s="651"/>
      <c r="AIS266" s="691"/>
      <c r="AIT266" s="651"/>
      <c r="AIU266" s="691"/>
      <c r="AIV266" s="651"/>
      <c r="AIW266" s="691"/>
      <c r="AIX266" s="651"/>
      <c r="AIY266" s="691"/>
      <c r="AIZ266" s="651"/>
      <c r="AJA266" s="691"/>
      <c r="AJB266" s="651"/>
      <c r="AJC266" s="691"/>
      <c r="AJD266" s="651"/>
      <c r="AJE266" s="691"/>
      <c r="AJF266" s="651"/>
      <c r="AJG266" s="691"/>
      <c r="AJH266" s="651"/>
      <c r="AJI266" s="691"/>
      <c r="AJJ266" s="651"/>
      <c r="AJK266" s="691"/>
      <c r="AJL266" s="651"/>
      <c r="AJM266" s="691"/>
      <c r="AJN266" s="651"/>
      <c r="AJO266" s="691"/>
      <c r="AJP266" s="651"/>
      <c r="AJQ266" s="691"/>
      <c r="AJR266" s="651"/>
      <c r="AJS266" s="691"/>
      <c r="AJT266" s="651"/>
      <c r="AJU266" s="691"/>
      <c r="AJV266" s="651"/>
      <c r="AJW266" s="691"/>
      <c r="AJX266" s="651"/>
      <c r="AJY266" s="691"/>
      <c r="AJZ266" s="651"/>
      <c r="AKA266" s="691"/>
      <c r="AKB266" s="651"/>
      <c r="AKC266" s="691"/>
      <c r="AKD266" s="651"/>
      <c r="AKE266" s="691"/>
      <c r="AKF266" s="651"/>
      <c r="AKG266" s="691"/>
      <c r="AKH266" s="651"/>
      <c r="AKI266" s="691"/>
      <c r="AKJ266" s="651"/>
      <c r="AKK266" s="691"/>
      <c r="AKL266" s="651"/>
      <c r="AKM266" s="691"/>
      <c r="AKN266" s="651"/>
      <c r="AKO266" s="691"/>
      <c r="AKP266" s="651"/>
      <c r="AKQ266" s="691"/>
      <c r="AKR266" s="651"/>
      <c r="AKS266" s="691"/>
      <c r="AKT266" s="651"/>
      <c r="AKU266" s="691"/>
      <c r="AKV266" s="651"/>
      <c r="AKW266" s="691"/>
      <c r="AKX266" s="651"/>
      <c r="AKY266" s="691"/>
      <c r="AKZ266" s="651"/>
      <c r="ALA266" s="691"/>
      <c r="ALB266" s="651"/>
      <c r="ALC266" s="691"/>
      <c r="ALD266" s="651"/>
      <c r="ALE266" s="691"/>
      <c r="ALF266" s="651"/>
      <c r="ALG266" s="691"/>
      <c r="ALH266" s="651"/>
      <c r="ALI266" s="691"/>
      <c r="ALJ266" s="651"/>
      <c r="ALK266" s="691"/>
      <c r="ALL266" s="651"/>
      <c r="ALM266" s="691"/>
      <c r="ALN266" s="651"/>
      <c r="ALO266" s="691"/>
      <c r="ALP266" s="651"/>
      <c r="ALQ266" s="691"/>
      <c r="ALR266" s="651"/>
      <c r="ALS266" s="691"/>
      <c r="ALT266" s="651"/>
      <c r="ALU266" s="691"/>
      <c r="ALV266" s="651"/>
      <c r="ALW266" s="691"/>
      <c r="ALX266" s="651"/>
      <c r="ALY266" s="691"/>
      <c r="ALZ266" s="651"/>
      <c r="AMA266" s="691"/>
      <c r="AMB266" s="651"/>
      <c r="AMC266" s="691"/>
      <c r="AMD266" s="651"/>
      <c r="AME266" s="691"/>
      <c r="AMF266" s="651"/>
      <c r="AMG266" s="691"/>
      <c r="AMH266" s="651"/>
      <c r="AMI266" s="691"/>
      <c r="AMJ266" s="651"/>
      <c r="AMK266" s="691"/>
      <c r="AML266" s="651"/>
      <c r="AMM266" s="691"/>
      <c r="AMN266" s="651"/>
      <c r="AMO266" s="691"/>
      <c r="AMP266" s="651"/>
      <c r="AMQ266" s="691"/>
      <c r="AMR266" s="651"/>
      <c r="AMS266" s="691"/>
      <c r="AMT266" s="651"/>
      <c r="AMU266" s="691"/>
      <c r="AMV266" s="651"/>
      <c r="AMW266" s="691"/>
      <c r="AMX266" s="651"/>
      <c r="AMY266" s="691"/>
      <c r="AMZ266" s="651"/>
      <c r="ANA266" s="691"/>
      <c r="ANB266" s="651"/>
      <c r="ANC266" s="691"/>
      <c r="AND266" s="651"/>
      <c r="ANE266" s="691"/>
      <c r="ANF266" s="651"/>
      <c r="ANG266" s="691"/>
      <c r="ANH266" s="651"/>
      <c r="ANI266" s="691"/>
      <c r="ANJ266" s="651"/>
      <c r="ANK266" s="691"/>
      <c r="ANL266" s="651"/>
      <c r="ANM266" s="691"/>
      <c r="ANN266" s="651"/>
      <c r="ANO266" s="691"/>
      <c r="ANP266" s="651"/>
      <c r="ANQ266" s="691"/>
      <c r="ANR266" s="651"/>
      <c r="ANS266" s="691"/>
      <c r="ANT266" s="651"/>
      <c r="ANU266" s="691"/>
      <c r="ANV266" s="651"/>
      <c r="ANW266" s="691"/>
      <c r="ANX266" s="651"/>
      <c r="ANY266" s="691"/>
      <c r="ANZ266" s="651"/>
      <c r="AOA266" s="691"/>
      <c r="AOB266" s="651"/>
      <c r="AOC266" s="691"/>
      <c r="AOD266" s="651"/>
      <c r="AOE266" s="691"/>
      <c r="AOF266" s="651"/>
      <c r="AOG266" s="691"/>
      <c r="AOH266" s="651"/>
      <c r="AOI266" s="691"/>
      <c r="AOJ266" s="651"/>
      <c r="AOK266" s="691"/>
      <c r="AOL266" s="651"/>
      <c r="AOM266" s="691"/>
      <c r="AON266" s="651"/>
      <c r="AOO266" s="691"/>
      <c r="AOP266" s="651"/>
      <c r="AOQ266" s="691"/>
      <c r="AOR266" s="651"/>
      <c r="AOS266" s="691"/>
      <c r="AOT266" s="651"/>
      <c r="AOU266" s="691"/>
      <c r="AOV266" s="651"/>
      <c r="AOW266" s="691"/>
      <c r="AOX266" s="651"/>
      <c r="AOY266" s="691"/>
      <c r="AOZ266" s="651"/>
      <c r="APA266" s="691"/>
      <c r="APB266" s="651"/>
      <c r="APC266" s="691"/>
      <c r="APD266" s="651"/>
      <c r="APE266" s="691"/>
      <c r="APF266" s="651"/>
      <c r="APG266" s="691"/>
      <c r="APH266" s="651"/>
      <c r="API266" s="691"/>
      <c r="APJ266" s="651"/>
      <c r="APK266" s="691"/>
      <c r="APL266" s="651"/>
      <c r="APM266" s="691"/>
      <c r="APN266" s="651"/>
      <c r="APO266" s="691"/>
      <c r="APP266" s="651"/>
      <c r="APQ266" s="691"/>
      <c r="APR266" s="651"/>
      <c r="APS266" s="691"/>
      <c r="APT266" s="651"/>
      <c r="APU266" s="691"/>
      <c r="APV266" s="651"/>
      <c r="APW266" s="691"/>
      <c r="APX266" s="651"/>
      <c r="APY266" s="691"/>
      <c r="APZ266" s="651"/>
      <c r="AQA266" s="691"/>
      <c r="AQB266" s="651"/>
      <c r="AQC266" s="691"/>
      <c r="AQD266" s="651"/>
      <c r="AQE266" s="691"/>
      <c r="AQF266" s="651"/>
      <c r="AQG266" s="691"/>
      <c r="AQH266" s="651"/>
      <c r="AQI266" s="691"/>
      <c r="AQJ266" s="651"/>
      <c r="AQK266" s="691"/>
      <c r="AQL266" s="651"/>
      <c r="AQM266" s="691"/>
      <c r="AQN266" s="651"/>
      <c r="AQO266" s="691"/>
      <c r="AQP266" s="651"/>
      <c r="AQQ266" s="691"/>
      <c r="AQR266" s="651"/>
      <c r="AQS266" s="691"/>
      <c r="AQT266" s="651"/>
      <c r="AQU266" s="691"/>
      <c r="AQV266" s="651"/>
      <c r="AQW266" s="691"/>
      <c r="AQX266" s="651"/>
      <c r="AQY266" s="691"/>
      <c r="AQZ266" s="651"/>
      <c r="ARA266" s="691"/>
      <c r="ARB266" s="651"/>
      <c r="ARC266" s="691"/>
      <c r="ARD266" s="651"/>
      <c r="ARE266" s="691"/>
      <c r="ARF266" s="651"/>
      <c r="ARG266" s="691"/>
      <c r="ARH266" s="651"/>
      <c r="ARI266" s="691"/>
      <c r="ARJ266" s="651"/>
      <c r="ARK266" s="691"/>
      <c r="ARL266" s="651"/>
      <c r="ARM266" s="691"/>
      <c r="ARN266" s="651"/>
      <c r="ARO266" s="691"/>
      <c r="ARP266" s="651"/>
      <c r="ARQ266" s="691"/>
      <c r="ARR266" s="651"/>
      <c r="ARS266" s="691"/>
      <c r="ART266" s="651"/>
      <c r="ARU266" s="691"/>
      <c r="ARV266" s="651"/>
      <c r="ARW266" s="691"/>
      <c r="ARX266" s="651"/>
      <c r="ARY266" s="691"/>
      <c r="ARZ266" s="651"/>
      <c r="ASA266" s="691"/>
      <c r="ASB266" s="651"/>
      <c r="ASC266" s="691"/>
      <c r="ASD266" s="651"/>
      <c r="ASE266" s="691"/>
      <c r="ASF266" s="651"/>
      <c r="ASG266" s="691"/>
      <c r="ASH266" s="651"/>
      <c r="ASI266" s="691"/>
      <c r="ASJ266" s="651"/>
      <c r="ASK266" s="691"/>
      <c r="ASL266" s="651"/>
      <c r="ASM266" s="691"/>
      <c r="ASN266" s="651"/>
      <c r="ASO266" s="691"/>
      <c r="ASP266" s="651"/>
      <c r="ASQ266" s="691"/>
      <c r="ASR266" s="651"/>
      <c r="ASS266" s="691"/>
      <c r="AST266" s="651"/>
      <c r="ASU266" s="691"/>
      <c r="ASV266" s="651"/>
      <c r="ASW266" s="691"/>
      <c r="ASX266" s="651"/>
      <c r="ASY266" s="691"/>
      <c r="ASZ266" s="651"/>
      <c r="ATA266" s="691"/>
      <c r="ATB266" s="651"/>
      <c r="ATC266" s="691"/>
      <c r="ATD266" s="651"/>
      <c r="ATE266" s="691"/>
      <c r="ATF266" s="651"/>
      <c r="ATG266" s="691"/>
      <c r="ATH266" s="651"/>
      <c r="ATI266" s="691"/>
      <c r="ATJ266" s="651"/>
      <c r="ATK266" s="691"/>
      <c r="ATL266" s="651"/>
      <c r="ATM266" s="691"/>
      <c r="ATN266" s="651"/>
      <c r="ATO266" s="691"/>
      <c r="ATP266" s="651"/>
      <c r="ATQ266" s="691"/>
      <c r="ATR266" s="651"/>
      <c r="ATS266" s="691"/>
      <c r="ATT266" s="651"/>
      <c r="ATU266" s="691"/>
      <c r="ATV266" s="651"/>
      <c r="ATW266" s="691"/>
      <c r="ATX266" s="651"/>
      <c r="ATY266" s="691"/>
      <c r="ATZ266" s="651"/>
      <c r="AUA266" s="691"/>
      <c r="AUB266" s="651"/>
      <c r="AUC266" s="691"/>
      <c r="AUD266" s="651"/>
      <c r="AUE266" s="691"/>
      <c r="AUF266" s="651"/>
      <c r="AUG266" s="691"/>
      <c r="AUH266" s="651"/>
      <c r="AUI266" s="691"/>
      <c r="AUJ266" s="651"/>
      <c r="AUK266" s="691"/>
      <c r="AUL266" s="651"/>
      <c r="AUM266" s="691"/>
      <c r="AUN266" s="651"/>
      <c r="AUO266" s="691"/>
      <c r="AUP266" s="651"/>
      <c r="AUQ266" s="691"/>
      <c r="AUR266" s="651"/>
      <c r="AUS266" s="691"/>
      <c r="AUT266" s="651"/>
      <c r="AUU266" s="691"/>
      <c r="AUV266" s="651"/>
      <c r="AUW266" s="691"/>
      <c r="AUX266" s="651"/>
      <c r="AUY266" s="691"/>
      <c r="AUZ266" s="651"/>
      <c r="AVA266" s="691"/>
      <c r="AVB266" s="651"/>
      <c r="AVC266" s="691"/>
      <c r="AVD266" s="651"/>
      <c r="AVE266" s="691"/>
      <c r="AVF266" s="651"/>
      <c r="AVG266" s="691"/>
      <c r="AVH266" s="651"/>
      <c r="AVI266" s="691"/>
      <c r="AVJ266" s="651"/>
      <c r="AVK266" s="691"/>
      <c r="AVL266" s="651"/>
      <c r="AVM266" s="691"/>
      <c r="AVN266" s="651"/>
      <c r="AVO266" s="691"/>
      <c r="AVP266" s="651"/>
      <c r="AVQ266" s="691"/>
      <c r="AVR266" s="651"/>
      <c r="AVS266" s="691"/>
      <c r="AVT266" s="651"/>
      <c r="AVU266" s="691"/>
      <c r="AVV266" s="651"/>
      <c r="AVW266" s="691"/>
      <c r="AVX266" s="651"/>
      <c r="AVY266" s="691"/>
      <c r="AVZ266" s="651"/>
      <c r="AWA266" s="691"/>
      <c r="AWB266" s="651"/>
      <c r="AWC266" s="691"/>
      <c r="AWD266" s="651"/>
      <c r="AWE266" s="691"/>
      <c r="AWF266" s="651"/>
      <c r="AWG266" s="691"/>
      <c r="AWH266" s="651"/>
      <c r="AWI266" s="691"/>
      <c r="AWJ266" s="651"/>
      <c r="AWK266" s="691"/>
      <c r="AWL266" s="651"/>
      <c r="AWM266" s="691"/>
      <c r="AWN266" s="651"/>
      <c r="AWO266" s="691"/>
      <c r="AWP266" s="651"/>
      <c r="AWQ266" s="691"/>
      <c r="AWR266" s="651"/>
      <c r="AWS266" s="691"/>
      <c r="AWT266" s="651"/>
      <c r="AWU266" s="691"/>
      <c r="AWV266" s="651"/>
      <c r="AWW266" s="691"/>
      <c r="AWX266" s="651"/>
      <c r="AWY266" s="691"/>
      <c r="AWZ266" s="651"/>
      <c r="AXA266" s="691"/>
      <c r="AXB266" s="651"/>
      <c r="AXC266" s="691"/>
      <c r="AXD266" s="651"/>
      <c r="AXE266" s="691"/>
      <c r="AXF266" s="651"/>
      <c r="AXG266" s="691"/>
      <c r="AXH266" s="651"/>
      <c r="AXI266" s="691"/>
      <c r="AXJ266" s="651"/>
      <c r="AXK266" s="691"/>
      <c r="AXL266" s="651"/>
      <c r="AXM266" s="691"/>
      <c r="AXN266" s="651"/>
      <c r="AXO266" s="691"/>
      <c r="AXP266" s="651"/>
      <c r="AXQ266" s="691"/>
      <c r="AXR266" s="651"/>
      <c r="AXS266" s="691"/>
      <c r="AXT266" s="651"/>
      <c r="AXU266" s="691"/>
      <c r="AXV266" s="651"/>
      <c r="AXW266" s="691"/>
      <c r="AXX266" s="651"/>
      <c r="AXY266" s="691"/>
      <c r="AXZ266" s="651"/>
      <c r="AYA266" s="691"/>
      <c r="AYB266" s="651"/>
      <c r="AYC266" s="691"/>
      <c r="AYD266" s="651"/>
      <c r="AYE266" s="691"/>
      <c r="AYF266" s="651"/>
      <c r="AYG266" s="691"/>
      <c r="AYH266" s="651"/>
      <c r="AYI266" s="691"/>
      <c r="AYJ266" s="651"/>
      <c r="AYK266" s="691"/>
      <c r="AYL266" s="651"/>
      <c r="AYM266" s="691"/>
      <c r="AYN266" s="651"/>
      <c r="AYO266" s="691"/>
      <c r="AYP266" s="651"/>
      <c r="AYQ266" s="691"/>
      <c r="AYR266" s="651"/>
      <c r="AYS266" s="691"/>
      <c r="AYT266" s="651"/>
      <c r="AYU266" s="691"/>
      <c r="AYV266" s="651"/>
      <c r="AYW266" s="691"/>
      <c r="AYX266" s="651"/>
      <c r="AYY266" s="691"/>
      <c r="AYZ266" s="651"/>
      <c r="AZA266" s="691"/>
      <c r="AZB266" s="651"/>
      <c r="AZC266" s="691"/>
      <c r="AZD266" s="651"/>
      <c r="AZE266" s="691"/>
      <c r="AZF266" s="651"/>
      <c r="AZG266" s="691"/>
      <c r="AZH266" s="651"/>
      <c r="AZI266" s="691"/>
      <c r="AZJ266" s="651"/>
      <c r="AZK266" s="691"/>
      <c r="AZL266" s="651"/>
      <c r="AZM266" s="691"/>
      <c r="AZN266" s="651"/>
      <c r="AZO266" s="691"/>
      <c r="AZP266" s="651"/>
      <c r="AZQ266" s="691"/>
      <c r="AZR266" s="651"/>
      <c r="AZS266" s="691"/>
      <c r="AZT266" s="651"/>
      <c r="AZU266" s="691"/>
      <c r="AZV266" s="651"/>
      <c r="AZW266" s="691"/>
      <c r="AZX266" s="651"/>
      <c r="AZY266" s="691"/>
      <c r="AZZ266" s="651"/>
      <c r="BAA266" s="691"/>
      <c r="BAB266" s="651"/>
      <c r="BAC266" s="691"/>
      <c r="BAD266" s="651"/>
      <c r="BAE266" s="691"/>
      <c r="BAF266" s="651"/>
      <c r="BAG266" s="691"/>
      <c r="BAH266" s="651"/>
      <c r="BAI266" s="691"/>
      <c r="BAJ266" s="651"/>
      <c r="BAK266" s="691"/>
      <c r="BAL266" s="651"/>
      <c r="BAM266" s="691"/>
      <c r="BAN266" s="651"/>
      <c r="BAO266" s="691"/>
      <c r="BAP266" s="651"/>
      <c r="BAQ266" s="691"/>
      <c r="BAR266" s="651"/>
      <c r="BAS266" s="691"/>
      <c r="BAT266" s="651"/>
      <c r="BAU266" s="691"/>
      <c r="BAV266" s="651"/>
      <c r="BAW266" s="691"/>
      <c r="BAX266" s="651"/>
      <c r="BAY266" s="691"/>
      <c r="BAZ266" s="651"/>
      <c r="BBA266" s="691"/>
      <c r="BBB266" s="651"/>
      <c r="BBC266" s="691"/>
      <c r="BBD266" s="651"/>
      <c r="BBE266" s="691"/>
      <c r="BBF266" s="651"/>
      <c r="BBG266" s="691"/>
      <c r="BBH266" s="651"/>
      <c r="BBI266" s="691"/>
      <c r="BBJ266" s="651"/>
      <c r="BBK266" s="691"/>
      <c r="BBL266" s="651"/>
      <c r="BBM266" s="691"/>
      <c r="BBN266" s="651"/>
      <c r="BBO266" s="691"/>
      <c r="BBP266" s="651"/>
      <c r="BBQ266" s="691"/>
      <c r="BBR266" s="651"/>
      <c r="BBS266" s="691"/>
      <c r="BBT266" s="651"/>
      <c r="BBU266" s="691"/>
      <c r="BBV266" s="651"/>
      <c r="BBW266" s="691"/>
      <c r="BBX266" s="651"/>
      <c r="BBY266" s="691"/>
      <c r="BBZ266" s="651"/>
      <c r="BCA266" s="691"/>
      <c r="BCB266" s="651"/>
      <c r="BCC266" s="691"/>
      <c r="BCD266" s="651"/>
      <c r="BCE266" s="691"/>
      <c r="BCF266" s="651"/>
      <c r="BCG266" s="691"/>
      <c r="BCH266" s="651"/>
      <c r="BCI266" s="691"/>
      <c r="BCJ266" s="651"/>
      <c r="BCK266" s="691"/>
      <c r="BCL266" s="651"/>
      <c r="BCM266" s="691"/>
      <c r="BCN266" s="651"/>
      <c r="BCO266" s="691"/>
      <c r="BCP266" s="651"/>
      <c r="BCQ266" s="691"/>
      <c r="BCR266" s="651"/>
      <c r="BCS266" s="691"/>
      <c r="BCT266" s="651"/>
      <c r="BCU266" s="691"/>
      <c r="BCV266" s="651"/>
      <c r="BCW266" s="691"/>
      <c r="BCX266" s="651"/>
      <c r="BCY266" s="691"/>
      <c r="BCZ266" s="651"/>
      <c r="BDA266" s="691"/>
      <c r="BDB266" s="651"/>
      <c r="BDC266" s="691"/>
      <c r="BDD266" s="651"/>
      <c r="BDE266" s="691"/>
      <c r="BDF266" s="651"/>
      <c r="BDG266" s="691"/>
      <c r="BDH266" s="651"/>
      <c r="BDI266" s="691"/>
      <c r="BDJ266" s="651"/>
      <c r="BDK266" s="691"/>
      <c r="BDL266" s="651"/>
      <c r="BDM266" s="691"/>
      <c r="BDN266" s="651"/>
      <c r="BDO266" s="691"/>
      <c r="BDP266" s="651"/>
      <c r="BDQ266" s="691"/>
      <c r="BDR266" s="651"/>
      <c r="BDS266" s="691"/>
      <c r="BDT266" s="651"/>
      <c r="BDU266" s="691"/>
      <c r="BDV266" s="651"/>
      <c r="BDW266" s="691"/>
      <c r="BDX266" s="651"/>
      <c r="BDY266" s="691"/>
      <c r="BDZ266" s="651"/>
      <c r="BEA266" s="691"/>
      <c r="BEB266" s="651"/>
      <c r="BEC266" s="691"/>
      <c r="BED266" s="651"/>
      <c r="BEE266" s="691"/>
      <c r="BEF266" s="651"/>
      <c r="BEG266" s="691"/>
      <c r="BEH266" s="651"/>
      <c r="BEI266" s="691"/>
      <c r="BEJ266" s="651"/>
      <c r="BEK266" s="691"/>
      <c r="BEL266" s="651"/>
      <c r="BEM266" s="691"/>
      <c r="BEN266" s="651"/>
      <c r="BEO266" s="691"/>
      <c r="BEP266" s="651"/>
      <c r="BEQ266" s="691"/>
      <c r="BER266" s="651"/>
      <c r="BES266" s="691"/>
      <c r="BET266" s="651"/>
      <c r="BEU266" s="691"/>
      <c r="BEV266" s="651"/>
      <c r="BEW266" s="691"/>
      <c r="BEX266" s="651"/>
      <c r="BEY266" s="691"/>
      <c r="BEZ266" s="651"/>
      <c r="BFA266" s="691"/>
      <c r="BFB266" s="651"/>
      <c r="BFC266" s="691"/>
      <c r="BFD266" s="651"/>
      <c r="BFE266" s="691"/>
      <c r="BFF266" s="651"/>
      <c r="BFG266" s="691"/>
      <c r="BFH266" s="651"/>
      <c r="BFI266" s="691"/>
      <c r="BFJ266" s="651"/>
      <c r="BFK266" s="691"/>
      <c r="BFL266" s="651"/>
      <c r="BFM266" s="691"/>
      <c r="BFN266" s="651"/>
      <c r="BFO266" s="691"/>
      <c r="BFP266" s="651"/>
      <c r="BFQ266" s="691"/>
      <c r="BFR266" s="651"/>
      <c r="BFS266" s="691"/>
      <c r="BFT266" s="651"/>
      <c r="BFU266" s="691"/>
      <c r="BFV266" s="651"/>
      <c r="BFW266" s="691"/>
      <c r="BFX266" s="651"/>
      <c r="BFY266" s="691"/>
      <c r="BFZ266" s="651"/>
      <c r="BGA266" s="691"/>
      <c r="BGB266" s="651"/>
      <c r="BGC266" s="691"/>
      <c r="BGD266" s="651"/>
      <c r="BGE266" s="691"/>
      <c r="BGF266" s="651"/>
      <c r="BGG266" s="691"/>
      <c r="BGH266" s="651"/>
      <c r="BGI266" s="691"/>
      <c r="BGJ266" s="651"/>
      <c r="BGK266" s="691"/>
      <c r="BGL266" s="651"/>
      <c r="BGM266" s="691"/>
      <c r="BGN266" s="651"/>
      <c r="BGO266" s="691"/>
      <c r="BGP266" s="651"/>
      <c r="BGQ266" s="691"/>
      <c r="BGR266" s="651"/>
      <c r="BGS266" s="691"/>
      <c r="BGT266" s="651"/>
      <c r="BGU266" s="691"/>
      <c r="BGV266" s="651"/>
      <c r="BGW266" s="691"/>
      <c r="BGX266" s="651"/>
      <c r="BGY266" s="691"/>
      <c r="BGZ266" s="651"/>
      <c r="BHA266" s="691"/>
      <c r="BHB266" s="651"/>
      <c r="BHC266" s="691"/>
      <c r="BHD266" s="651"/>
      <c r="BHE266" s="691"/>
      <c r="BHF266" s="651"/>
      <c r="BHG266" s="691"/>
      <c r="BHH266" s="651"/>
      <c r="BHI266" s="691"/>
      <c r="BHJ266" s="651"/>
      <c r="BHK266" s="691"/>
      <c r="BHL266" s="651"/>
      <c r="BHM266" s="691"/>
      <c r="BHN266" s="651"/>
      <c r="BHO266" s="691"/>
      <c r="BHP266" s="651"/>
      <c r="BHQ266" s="691"/>
      <c r="BHR266" s="651"/>
      <c r="BHS266" s="691"/>
      <c r="BHT266" s="651"/>
      <c r="BHU266" s="691"/>
      <c r="BHV266" s="651"/>
      <c r="BHW266" s="691"/>
      <c r="BHX266" s="651"/>
      <c r="BHY266" s="691"/>
      <c r="BHZ266" s="651"/>
      <c r="BIA266" s="691"/>
      <c r="BIB266" s="651"/>
      <c r="BIC266" s="691"/>
      <c r="BID266" s="651"/>
      <c r="BIE266" s="691"/>
      <c r="BIF266" s="651"/>
      <c r="BIG266" s="691"/>
      <c r="BIH266" s="651"/>
      <c r="BII266" s="691"/>
      <c r="BIJ266" s="651"/>
      <c r="BIK266" s="691"/>
      <c r="BIL266" s="651"/>
      <c r="BIM266" s="691"/>
      <c r="BIN266" s="651"/>
      <c r="BIO266" s="691"/>
      <c r="BIP266" s="651"/>
      <c r="BIQ266" s="691"/>
      <c r="BIR266" s="651"/>
      <c r="BIS266" s="691"/>
      <c r="BIT266" s="651"/>
      <c r="BIU266" s="691"/>
      <c r="BIV266" s="651"/>
      <c r="BIW266" s="691"/>
      <c r="BIX266" s="651"/>
      <c r="BIY266" s="691"/>
      <c r="BIZ266" s="651"/>
      <c r="BJA266" s="691"/>
      <c r="BJB266" s="651"/>
      <c r="BJC266" s="691"/>
      <c r="BJD266" s="651"/>
      <c r="BJE266" s="691"/>
      <c r="BJF266" s="651"/>
      <c r="BJG266" s="691"/>
      <c r="BJH266" s="651"/>
      <c r="BJI266" s="691"/>
      <c r="BJJ266" s="651"/>
      <c r="BJK266" s="691"/>
      <c r="BJL266" s="651"/>
      <c r="BJM266" s="691"/>
      <c r="BJN266" s="651"/>
      <c r="BJO266" s="691"/>
      <c r="BJP266" s="651"/>
      <c r="BJQ266" s="691"/>
      <c r="BJR266" s="651"/>
      <c r="BJS266" s="691"/>
      <c r="BJT266" s="651"/>
      <c r="BJU266" s="691"/>
      <c r="BJV266" s="651"/>
      <c r="BJW266" s="691"/>
      <c r="BJX266" s="651"/>
      <c r="BJY266" s="691"/>
      <c r="BJZ266" s="651"/>
      <c r="BKA266" s="691"/>
      <c r="BKB266" s="651"/>
      <c r="BKC266" s="691"/>
      <c r="BKD266" s="651"/>
      <c r="BKE266" s="691"/>
      <c r="BKF266" s="651"/>
      <c r="BKG266" s="691"/>
      <c r="BKH266" s="651"/>
      <c r="BKI266" s="691"/>
      <c r="BKJ266" s="651"/>
      <c r="BKK266" s="691"/>
      <c r="BKL266" s="651"/>
      <c r="BKM266" s="691"/>
      <c r="BKN266" s="651"/>
      <c r="BKO266" s="691"/>
      <c r="BKP266" s="651"/>
      <c r="BKQ266" s="691"/>
      <c r="BKR266" s="651"/>
      <c r="BKS266" s="691"/>
      <c r="BKT266" s="651"/>
      <c r="BKU266" s="691"/>
      <c r="BKV266" s="651"/>
      <c r="BKW266" s="691"/>
      <c r="BKX266" s="651"/>
      <c r="BKY266" s="691"/>
      <c r="BKZ266" s="651"/>
      <c r="BLA266" s="691"/>
      <c r="BLB266" s="651"/>
      <c r="BLC266" s="691"/>
      <c r="BLD266" s="651"/>
      <c r="BLE266" s="691"/>
      <c r="BLF266" s="651"/>
      <c r="BLG266" s="691"/>
      <c r="BLH266" s="651"/>
      <c r="BLI266" s="691"/>
      <c r="BLJ266" s="651"/>
      <c r="BLK266" s="691"/>
      <c r="BLL266" s="651"/>
      <c r="BLM266" s="691"/>
      <c r="BLN266" s="651"/>
      <c r="BLO266" s="691"/>
      <c r="BLP266" s="651"/>
      <c r="BLQ266" s="691"/>
      <c r="BLR266" s="651"/>
      <c r="BLS266" s="691"/>
      <c r="BLT266" s="651"/>
      <c r="BLU266" s="691"/>
      <c r="BLV266" s="651"/>
      <c r="BLW266" s="691"/>
      <c r="BLX266" s="651"/>
      <c r="BLY266" s="691"/>
      <c r="BLZ266" s="651"/>
      <c r="BMA266" s="691"/>
      <c r="BMB266" s="651"/>
      <c r="BMC266" s="691"/>
      <c r="BMD266" s="651"/>
      <c r="BME266" s="691"/>
      <c r="BMF266" s="651"/>
      <c r="BMG266" s="691"/>
      <c r="BMH266" s="651"/>
      <c r="BMI266" s="691"/>
      <c r="BMJ266" s="651"/>
      <c r="BMK266" s="691"/>
      <c r="BML266" s="651"/>
      <c r="BMM266" s="691"/>
      <c r="BMN266" s="651"/>
      <c r="BMO266" s="691"/>
      <c r="BMP266" s="651"/>
      <c r="BMQ266" s="691"/>
      <c r="BMR266" s="651"/>
      <c r="BMS266" s="691"/>
      <c r="BMT266" s="651"/>
      <c r="BMU266" s="691"/>
      <c r="BMV266" s="651"/>
      <c r="BMW266" s="691"/>
      <c r="BMX266" s="651"/>
      <c r="BMY266" s="691"/>
      <c r="BMZ266" s="651"/>
      <c r="BNA266" s="691"/>
      <c r="BNB266" s="651"/>
      <c r="BNC266" s="691"/>
      <c r="BND266" s="651"/>
      <c r="BNE266" s="691"/>
      <c r="BNF266" s="651"/>
      <c r="BNG266" s="691"/>
      <c r="BNH266" s="651"/>
      <c r="BNI266" s="691"/>
      <c r="BNJ266" s="651"/>
      <c r="BNK266" s="691"/>
      <c r="BNL266" s="651"/>
      <c r="BNM266" s="691"/>
      <c r="BNN266" s="651"/>
      <c r="BNO266" s="691"/>
      <c r="BNP266" s="651"/>
      <c r="BNQ266" s="691"/>
      <c r="BNR266" s="651"/>
      <c r="BNS266" s="691"/>
      <c r="BNT266" s="651"/>
      <c r="BNU266" s="691"/>
      <c r="BNV266" s="651"/>
      <c r="BNW266" s="691"/>
      <c r="BNX266" s="651"/>
      <c r="BNY266" s="691"/>
      <c r="BNZ266" s="651"/>
      <c r="BOA266" s="691"/>
      <c r="BOB266" s="651"/>
      <c r="BOC266" s="691"/>
      <c r="BOD266" s="651"/>
      <c r="BOE266" s="691"/>
      <c r="BOF266" s="651"/>
      <c r="BOG266" s="691"/>
      <c r="BOH266" s="651"/>
      <c r="BOI266" s="691"/>
      <c r="BOJ266" s="651"/>
      <c r="BOK266" s="691"/>
      <c r="BOL266" s="651"/>
      <c r="BOM266" s="691"/>
      <c r="BON266" s="651"/>
      <c r="BOO266" s="691"/>
      <c r="BOP266" s="651"/>
      <c r="BOQ266" s="691"/>
      <c r="BOR266" s="651"/>
      <c r="BOS266" s="691"/>
      <c r="BOT266" s="651"/>
      <c r="BOU266" s="691"/>
      <c r="BOV266" s="651"/>
      <c r="BOW266" s="691"/>
      <c r="BOX266" s="651"/>
      <c r="BOY266" s="691"/>
      <c r="BOZ266" s="651"/>
      <c r="BPA266" s="691"/>
      <c r="BPB266" s="651"/>
      <c r="BPC266" s="691"/>
      <c r="BPD266" s="651"/>
      <c r="BPE266" s="691"/>
      <c r="BPF266" s="651"/>
      <c r="BPG266" s="691"/>
      <c r="BPH266" s="651"/>
      <c r="BPI266" s="691"/>
      <c r="BPJ266" s="651"/>
      <c r="BPK266" s="691"/>
      <c r="BPL266" s="651"/>
      <c r="BPM266" s="691"/>
      <c r="BPN266" s="651"/>
      <c r="BPO266" s="691"/>
      <c r="BPP266" s="651"/>
      <c r="BPQ266" s="691"/>
      <c r="BPR266" s="651"/>
      <c r="BPS266" s="691"/>
      <c r="BPT266" s="651"/>
      <c r="BPU266" s="691"/>
      <c r="BPV266" s="651"/>
      <c r="BPW266" s="691"/>
      <c r="BPX266" s="651"/>
      <c r="BPY266" s="691"/>
      <c r="BPZ266" s="651"/>
      <c r="BQA266" s="691"/>
      <c r="BQB266" s="651"/>
      <c r="BQC266" s="691"/>
      <c r="BQD266" s="651"/>
      <c r="BQE266" s="691"/>
      <c r="BQF266" s="651"/>
      <c r="BQG266" s="691"/>
      <c r="BQH266" s="651"/>
      <c r="BQI266" s="691"/>
      <c r="BQJ266" s="651"/>
      <c r="BQK266" s="691"/>
      <c r="BQL266" s="651"/>
      <c r="BQM266" s="691"/>
      <c r="BQN266" s="651"/>
      <c r="BQO266" s="691"/>
      <c r="BQP266" s="651"/>
      <c r="BQQ266" s="691"/>
      <c r="BQR266" s="651"/>
      <c r="BQS266" s="691"/>
      <c r="BQT266" s="651"/>
      <c r="BQU266" s="691"/>
      <c r="BQV266" s="651"/>
      <c r="BQW266" s="691"/>
      <c r="BQX266" s="651"/>
      <c r="BQY266" s="691"/>
      <c r="BQZ266" s="651"/>
      <c r="BRA266" s="691"/>
      <c r="BRB266" s="651"/>
      <c r="BRC266" s="691"/>
      <c r="BRD266" s="651"/>
      <c r="BRE266" s="691"/>
      <c r="BRF266" s="651"/>
      <c r="BRG266" s="691"/>
      <c r="BRH266" s="651"/>
      <c r="BRI266" s="691"/>
      <c r="BRJ266" s="651"/>
      <c r="BRK266" s="691"/>
      <c r="BRL266" s="651"/>
      <c r="BRM266" s="691"/>
      <c r="BRN266" s="651"/>
      <c r="BRO266" s="691"/>
      <c r="BRP266" s="651"/>
      <c r="BRQ266" s="691"/>
      <c r="BRR266" s="651"/>
      <c r="BRS266" s="691"/>
      <c r="BRT266" s="651"/>
      <c r="BRU266" s="691"/>
      <c r="BRV266" s="651"/>
      <c r="BRW266" s="691"/>
      <c r="BRX266" s="651"/>
      <c r="BRY266" s="691"/>
      <c r="BRZ266" s="651"/>
      <c r="BSA266" s="691"/>
      <c r="BSB266" s="651"/>
      <c r="BSC266" s="691"/>
      <c r="BSD266" s="651"/>
      <c r="BSE266" s="691"/>
      <c r="BSF266" s="651"/>
      <c r="BSG266" s="691"/>
      <c r="BSH266" s="651"/>
      <c r="BSI266" s="691"/>
      <c r="BSJ266" s="651"/>
      <c r="BSK266" s="691"/>
      <c r="BSL266" s="651"/>
      <c r="BSM266" s="691"/>
      <c r="BSN266" s="651"/>
      <c r="BSO266" s="691"/>
      <c r="BSP266" s="651"/>
      <c r="BSQ266" s="691"/>
      <c r="BSR266" s="651"/>
      <c r="BSS266" s="691"/>
      <c r="BST266" s="651"/>
      <c r="BSU266" s="691"/>
      <c r="BSV266" s="651"/>
      <c r="BSW266" s="691"/>
      <c r="BSX266" s="651"/>
      <c r="BSY266" s="691"/>
      <c r="BSZ266" s="651"/>
      <c r="BTA266" s="691"/>
      <c r="BTB266" s="651"/>
      <c r="BTC266" s="691"/>
      <c r="BTD266" s="651"/>
      <c r="BTE266" s="691"/>
      <c r="BTF266" s="651"/>
      <c r="BTG266" s="691"/>
      <c r="BTH266" s="651"/>
      <c r="BTI266" s="691"/>
      <c r="BTJ266" s="651"/>
      <c r="BTK266" s="691"/>
      <c r="BTL266" s="651"/>
      <c r="BTM266" s="691"/>
      <c r="BTN266" s="651"/>
      <c r="BTO266" s="691"/>
      <c r="BTP266" s="651"/>
      <c r="BTQ266" s="691"/>
      <c r="BTR266" s="651"/>
      <c r="BTS266" s="691"/>
      <c r="BTT266" s="651"/>
      <c r="BTU266" s="691"/>
      <c r="BTV266" s="651"/>
      <c r="BTW266" s="691"/>
      <c r="BTX266" s="651"/>
      <c r="BTY266" s="691"/>
      <c r="BTZ266" s="651"/>
      <c r="BUA266" s="691"/>
      <c r="BUB266" s="651"/>
      <c r="BUC266" s="691"/>
      <c r="BUD266" s="651"/>
      <c r="BUE266" s="691"/>
      <c r="BUF266" s="651"/>
      <c r="BUG266" s="691"/>
      <c r="BUH266" s="651"/>
      <c r="BUI266" s="691"/>
      <c r="BUJ266" s="651"/>
      <c r="BUK266" s="691"/>
      <c r="BUL266" s="651"/>
      <c r="BUM266" s="691"/>
      <c r="BUN266" s="651"/>
      <c r="BUO266" s="691"/>
      <c r="BUP266" s="651"/>
      <c r="BUQ266" s="691"/>
      <c r="BUR266" s="651"/>
      <c r="BUS266" s="691"/>
      <c r="BUT266" s="651"/>
      <c r="BUU266" s="691"/>
      <c r="BUV266" s="651"/>
      <c r="BUW266" s="691"/>
      <c r="BUX266" s="651"/>
      <c r="BUY266" s="691"/>
      <c r="BUZ266" s="651"/>
      <c r="BVA266" s="691"/>
      <c r="BVB266" s="651"/>
      <c r="BVC266" s="691"/>
      <c r="BVD266" s="651"/>
      <c r="BVE266" s="691"/>
      <c r="BVF266" s="651"/>
      <c r="BVG266" s="691"/>
      <c r="BVH266" s="651"/>
      <c r="BVI266" s="691"/>
      <c r="BVJ266" s="651"/>
      <c r="BVK266" s="691"/>
      <c r="BVL266" s="651"/>
      <c r="BVM266" s="691"/>
      <c r="BVN266" s="651"/>
      <c r="BVO266" s="691"/>
      <c r="BVP266" s="651"/>
      <c r="BVQ266" s="691"/>
      <c r="BVR266" s="651"/>
      <c r="BVS266" s="691"/>
      <c r="BVT266" s="651"/>
      <c r="BVU266" s="691"/>
      <c r="BVV266" s="651"/>
      <c r="BVW266" s="691"/>
      <c r="BVX266" s="651"/>
      <c r="BVY266" s="691"/>
      <c r="BVZ266" s="651"/>
      <c r="BWA266" s="691"/>
      <c r="BWB266" s="651"/>
      <c r="BWC266" s="691"/>
      <c r="BWD266" s="651"/>
      <c r="BWE266" s="691"/>
      <c r="BWF266" s="651"/>
      <c r="BWG266" s="691"/>
      <c r="BWH266" s="651"/>
      <c r="BWI266" s="691"/>
      <c r="BWJ266" s="651"/>
      <c r="BWK266" s="691"/>
      <c r="BWL266" s="651"/>
      <c r="BWM266" s="691"/>
      <c r="BWN266" s="651"/>
      <c r="BWO266" s="691"/>
      <c r="BWP266" s="651"/>
      <c r="BWQ266" s="691"/>
      <c r="BWR266" s="651"/>
      <c r="BWS266" s="691"/>
      <c r="BWT266" s="651"/>
      <c r="BWU266" s="691"/>
      <c r="BWV266" s="651"/>
      <c r="BWW266" s="691"/>
      <c r="BWX266" s="651"/>
      <c r="BWY266" s="691"/>
      <c r="BWZ266" s="651"/>
      <c r="BXA266" s="691"/>
      <c r="BXB266" s="651"/>
      <c r="BXC266" s="691"/>
      <c r="BXD266" s="651"/>
      <c r="BXE266" s="691"/>
      <c r="BXF266" s="651"/>
      <c r="BXG266" s="691"/>
      <c r="BXH266" s="651"/>
      <c r="BXI266" s="691"/>
      <c r="BXJ266" s="651"/>
      <c r="BXK266" s="691"/>
      <c r="BXL266" s="651"/>
      <c r="BXM266" s="691"/>
      <c r="BXN266" s="651"/>
      <c r="BXO266" s="691"/>
      <c r="BXP266" s="651"/>
      <c r="BXQ266" s="691"/>
      <c r="BXR266" s="651"/>
      <c r="BXS266" s="691"/>
      <c r="BXT266" s="651"/>
      <c r="BXU266" s="691"/>
      <c r="BXV266" s="651"/>
      <c r="BXW266" s="691"/>
      <c r="BXX266" s="651"/>
      <c r="BXY266" s="691"/>
      <c r="BXZ266" s="651"/>
      <c r="BYA266" s="691"/>
      <c r="BYB266" s="651"/>
      <c r="BYC266" s="691"/>
      <c r="BYD266" s="651"/>
      <c r="BYE266" s="691"/>
      <c r="BYF266" s="651"/>
      <c r="BYG266" s="691"/>
      <c r="BYH266" s="651"/>
      <c r="BYI266" s="691"/>
      <c r="BYJ266" s="651"/>
      <c r="BYK266" s="691"/>
      <c r="BYL266" s="651"/>
      <c r="BYM266" s="691"/>
      <c r="BYN266" s="651"/>
      <c r="BYO266" s="691"/>
      <c r="BYP266" s="651"/>
      <c r="BYQ266" s="691"/>
      <c r="BYR266" s="651"/>
      <c r="BYS266" s="691"/>
      <c r="BYT266" s="651"/>
      <c r="BYU266" s="691"/>
      <c r="BYV266" s="651"/>
      <c r="BYW266" s="691"/>
      <c r="BYX266" s="651"/>
      <c r="BYY266" s="691"/>
      <c r="BYZ266" s="651"/>
      <c r="BZA266" s="691"/>
      <c r="BZB266" s="651"/>
      <c r="BZC266" s="691"/>
      <c r="BZD266" s="651"/>
      <c r="BZE266" s="691"/>
      <c r="BZF266" s="651"/>
      <c r="BZG266" s="691"/>
      <c r="BZH266" s="651"/>
      <c r="BZI266" s="691"/>
      <c r="BZJ266" s="651"/>
      <c r="BZK266" s="691"/>
      <c r="BZL266" s="651"/>
      <c r="BZM266" s="691"/>
      <c r="BZN266" s="651"/>
      <c r="BZO266" s="691"/>
      <c r="BZP266" s="651"/>
      <c r="BZQ266" s="691"/>
      <c r="BZR266" s="651"/>
      <c r="BZS266" s="691"/>
      <c r="BZT266" s="651"/>
      <c r="BZU266" s="691"/>
      <c r="BZV266" s="651"/>
      <c r="BZW266" s="691"/>
      <c r="BZX266" s="651"/>
      <c r="BZY266" s="691"/>
      <c r="BZZ266" s="651"/>
      <c r="CAA266" s="691"/>
      <c r="CAB266" s="651"/>
      <c r="CAC266" s="691"/>
      <c r="CAD266" s="651"/>
      <c r="CAE266" s="691"/>
      <c r="CAF266" s="651"/>
      <c r="CAG266" s="691"/>
      <c r="CAH266" s="651"/>
      <c r="CAI266" s="691"/>
      <c r="CAJ266" s="651"/>
      <c r="CAK266" s="691"/>
      <c r="CAL266" s="651"/>
      <c r="CAM266" s="691"/>
      <c r="CAN266" s="651"/>
      <c r="CAO266" s="691"/>
      <c r="CAP266" s="651"/>
      <c r="CAQ266" s="691"/>
      <c r="CAR266" s="651"/>
      <c r="CAS266" s="691"/>
      <c r="CAT266" s="651"/>
      <c r="CAU266" s="691"/>
      <c r="CAV266" s="651"/>
      <c r="CAW266" s="691"/>
      <c r="CAX266" s="651"/>
      <c r="CAY266" s="691"/>
      <c r="CAZ266" s="651"/>
      <c r="CBA266" s="691"/>
      <c r="CBB266" s="651"/>
      <c r="CBC266" s="691"/>
      <c r="CBD266" s="651"/>
      <c r="CBE266" s="691"/>
      <c r="CBF266" s="651"/>
      <c r="CBG266" s="691"/>
      <c r="CBH266" s="651"/>
      <c r="CBI266" s="691"/>
      <c r="CBJ266" s="651"/>
      <c r="CBK266" s="691"/>
      <c r="CBL266" s="651"/>
      <c r="CBM266" s="691"/>
      <c r="CBN266" s="651"/>
      <c r="CBO266" s="691"/>
      <c r="CBP266" s="651"/>
      <c r="CBQ266" s="691"/>
      <c r="CBR266" s="651"/>
      <c r="CBS266" s="691"/>
      <c r="CBT266" s="651"/>
      <c r="CBU266" s="691"/>
      <c r="CBV266" s="651"/>
      <c r="CBW266" s="691"/>
      <c r="CBX266" s="651"/>
      <c r="CBY266" s="691"/>
      <c r="CBZ266" s="651"/>
      <c r="CCA266" s="691"/>
      <c r="CCB266" s="651"/>
      <c r="CCC266" s="691"/>
      <c r="CCD266" s="651"/>
      <c r="CCE266" s="691"/>
      <c r="CCF266" s="651"/>
      <c r="CCG266" s="691"/>
      <c r="CCH266" s="651"/>
      <c r="CCI266" s="691"/>
      <c r="CCJ266" s="651"/>
      <c r="CCK266" s="691"/>
      <c r="CCL266" s="651"/>
      <c r="CCM266" s="691"/>
      <c r="CCN266" s="651"/>
      <c r="CCO266" s="691"/>
      <c r="CCP266" s="651"/>
      <c r="CCQ266" s="691"/>
      <c r="CCR266" s="651"/>
      <c r="CCS266" s="691"/>
      <c r="CCT266" s="651"/>
      <c r="CCU266" s="691"/>
      <c r="CCV266" s="651"/>
      <c r="CCW266" s="691"/>
      <c r="CCX266" s="651"/>
      <c r="CCY266" s="691"/>
      <c r="CCZ266" s="651"/>
      <c r="CDA266" s="691"/>
      <c r="CDB266" s="651"/>
      <c r="CDC266" s="691"/>
      <c r="CDD266" s="651"/>
      <c r="CDE266" s="691"/>
      <c r="CDF266" s="651"/>
      <c r="CDG266" s="691"/>
      <c r="CDH266" s="651"/>
      <c r="CDI266" s="691"/>
      <c r="CDJ266" s="651"/>
      <c r="CDK266" s="691"/>
      <c r="CDL266" s="651"/>
      <c r="CDM266" s="691"/>
      <c r="CDN266" s="651"/>
      <c r="CDO266" s="691"/>
      <c r="CDP266" s="651"/>
      <c r="CDQ266" s="691"/>
      <c r="CDR266" s="651"/>
      <c r="CDS266" s="691"/>
      <c r="CDT266" s="651"/>
      <c r="CDU266" s="691"/>
      <c r="CDV266" s="651"/>
      <c r="CDW266" s="691"/>
      <c r="CDX266" s="651"/>
      <c r="CDY266" s="691"/>
      <c r="CDZ266" s="651"/>
      <c r="CEA266" s="691"/>
      <c r="CEB266" s="651"/>
      <c r="CEC266" s="691"/>
      <c r="CED266" s="651"/>
      <c r="CEE266" s="691"/>
      <c r="CEF266" s="651"/>
      <c r="CEG266" s="691"/>
      <c r="CEH266" s="651"/>
      <c r="CEI266" s="691"/>
      <c r="CEJ266" s="651"/>
      <c r="CEK266" s="691"/>
      <c r="CEL266" s="651"/>
      <c r="CEM266" s="691"/>
      <c r="CEN266" s="651"/>
      <c r="CEO266" s="691"/>
      <c r="CEP266" s="651"/>
      <c r="CEQ266" s="691"/>
      <c r="CER266" s="651"/>
      <c r="CES266" s="691"/>
      <c r="CET266" s="651"/>
      <c r="CEU266" s="691"/>
      <c r="CEV266" s="651"/>
      <c r="CEW266" s="691"/>
      <c r="CEX266" s="651"/>
      <c r="CEY266" s="691"/>
      <c r="CEZ266" s="651"/>
      <c r="CFA266" s="691"/>
      <c r="CFB266" s="651"/>
      <c r="CFC266" s="691"/>
      <c r="CFD266" s="651"/>
      <c r="CFE266" s="691"/>
      <c r="CFF266" s="651"/>
      <c r="CFG266" s="691"/>
      <c r="CFH266" s="651"/>
      <c r="CFI266" s="691"/>
      <c r="CFJ266" s="651"/>
      <c r="CFK266" s="691"/>
      <c r="CFL266" s="651"/>
      <c r="CFM266" s="691"/>
      <c r="CFN266" s="651"/>
      <c r="CFO266" s="691"/>
      <c r="CFP266" s="651"/>
      <c r="CFQ266" s="691"/>
      <c r="CFR266" s="651"/>
      <c r="CFS266" s="691"/>
      <c r="CFT266" s="651"/>
      <c r="CFU266" s="691"/>
      <c r="CFV266" s="651"/>
      <c r="CFW266" s="691"/>
      <c r="CFX266" s="651"/>
      <c r="CFY266" s="691"/>
      <c r="CFZ266" s="651"/>
      <c r="CGA266" s="691"/>
      <c r="CGB266" s="651"/>
      <c r="CGC266" s="691"/>
      <c r="CGD266" s="651"/>
      <c r="CGE266" s="691"/>
      <c r="CGF266" s="651"/>
      <c r="CGG266" s="691"/>
      <c r="CGH266" s="651"/>
      <c r="CGI266" s="691"/>
      <c r="CGJ266" s="651"/>
      <c r="CGK266" s="691"/>
      <c r="CGL266" s="651"/>
      <c r="CGM266" s="691"/>
      <c r="CGN266" s="651"/>
      <c r="CGO266" s="691"/>
      <c r="CGP266" s="651"/>
      <c r="CGQ266" s="691"/>
      <c r="CGR266" s="651"/>
      <c r="CGS266" s="691"/>
      <c r="CGT266" s="651"/>
      <c r="CGU266" s="691"/>
      <c r="CGV266" s="651"/>
      <c r="CGW266" s="691"/>
      <c r="CGX266" s="651"/>
      <c r="CGY266" s="691"/>
      <c r="CGZ266" s="651"/>
      <c r="CHA266" s="691"/>
      <c r="CHB266" s="651"/>
      <c r="CHC266" s="691"/>
      <c r="CHD266" s="651"/>
      <c r="CHE266" s="691"/>
      <c r="CHF266" s="651"/>
      <c r="CHG266" s="691"/>
      <c r="CHH266" s="651"/>
      <c r="CHI266" s="691"/>
      <c r="CHJ266" s="651"/>
      <c r="CHK266" s="691"/>
      <c r="CHL266" s="651"/>
      <c r="CHM266" s="691"/>
      <c r="CHN266" s="651"/>
      <c r="CHO266" s="691"/>
      <c r="CHP266" s="651"/>
      <c r="CHQ266" s="691"/>
      <c r="CHR266" s="651"/>
      <c r="CHS266" s="691"/>
      <c r="CHT266" s="651"/>
      <c r="CHU266" s="691"/>
      <c r="CHV266" s="651"/>
      <c r="CHW266" s="691"/>
      <c r="CHX266" s="651"/>
      <c r="CHY266" s="691"/>
      <c r="CHZ266" s="651"/>
      <c r="CIA266" s="691"/>
      <c r="CIB266" s="651"/>
      <c r="CIC266" s="691"/>
      <c r="CID266" s="651"/>
      <c r="CIE266" s="691"/>
      <c r="CIF266" s="651"/>
      <c r="CIG266" s="691"/>
      <c r="CIH266" s="651"/>
      <c r="CII266" s="691"/>
      <c r="CIJ266" s="651"/>
      <c r="CIK266" s="691"/>
      <c r="CIL266" s="651"/>
      <c r="CIM266" s="691"/>
      <c r="CIN266" s="651"/>
      <c r="CIO266" s="691"/>
      <c r="CIP266" s="651"/>
      <c r="CIQ266" s="691"/>
      <c r="CIR266" s="651"/>
      <c r="CIS266" s="691"/>
      <c r="CIT266" s="651"/>
      <c r="CIU266" s="691"/>
      <c r="CIV266" s="651"/>
      <c r="CIW266" s="691"/>
      <c r="CIX266" s="651"/>
      <c r="CIY266" s="691"/>
      <c r="CIZ266" s="651"/>
      <c r="CJA266" s="691"/>
      <c r="CJB266" s="651"/>
      <c r="CJC266" s="691"/>
      <c r="CJD266" s="651"/>
      <c r="CJE266" s="691"/>
      <c r="CJF266" s="651"/>
      <c r="CJG266" s="691"/>
      <c r="CJH266" s="651"/>
      <c r="CJI266" s="691"/>
      <c r="CJJ266" s="651"/>
      <c r="CJK266" s="691"/>
      <c r="CJL266" s="651"/>
      <c r="CJM266" s="691"/>
      <c r="CJN266" s="651"/>
      <c r="CJO266" s="691"/>
      <c r="CJP266" s="651"/>
      <c r="CJQ266" s="691"/>
      <c r="CJR266" s="651"/>
      <c r="CJS266" s="691"/>
      <c r="CJT266" s="651"/>
      <c r="CJU266" s="691"/>
      <c r="CJV266" s="651"/>
      <c r="CJW266" s="691"/>
      <c r="CJX266" s="651"/>
      <c r="CJY266" s="691"/>
      <c r="CJZ266" s="651"/>
      <c r="CKA266" s="691"/>
      <c r="CKB266" s="651"/>
      <c r="CKC266" s="691"/>
      <c r="CKD266" s="651"/>
      <c r="CKE266" s="691"/>
      <c r="CKF266" s="651"/>
      <c r="CKG266" s="691"/>
      <c r="CKH266" s="651"/>
      <c r="CKI266" s="691"/>
      <c r="CKJ266" s="651"/>
      <c r="CKK266" s="691"/>
      <c r="CKL266" s="651"/>
      <c r="CKM266" s="691"/>
      <c r="CKN266" s="651"/>
      <c r="CKO266" s="691"/>
      <c r="CKP266" s="651"/>
      <c r="CKQ266" s="691"/>
      <c r="CKR266" s="651"/>
      <c r="CKS266" s="691"/>
      <c r="CKT266" s="651"/>
      <c r="CKU266" s="691"/>
      <c r="CKV266" s="651"/>
      <c r="CKW266" s="691"/>
      <c r="CKX266" s="651"/>
      <c r="CKY266" s="691"/>
      <c r="CKZ266" s="651"/>
      <c r="CLA266" s="691"/>
      <c r="CLB266" s="651"/>
      <c r="CLC266" s="691"/>
      <c r="CLD266" s="651"/>
      <c r="CLE266" s="691"/>
      <c r="CLF266" s="651"/>
      <c r="CLG266" s="691"/>
      <c r="CLH266" s="651"/>
      <c r="CLI266" s="691"/>
      <c r="CLJ266" s="651"/>
      <c r="CLK266" s="691"/>
      <c r="CLL266" s="651"/>
      <c r="CLM266" s="691"/>
      <c r="CLN266" s="651"/>
      <c r="CLO266" s="691"/>
      <c r="CLP266" s="651"/>
      <c r="CLQ266" s="691"/>
      <c r="CLR266" s="651"/>
      <c r="CLS266" s="691"/>
      <c r="CLT266" s="651"/>
      <c r="CLU266" s="691"/>
      <c r="CLV266" s="651"/>
      <c r="CLW266" s="691"/>
      <c r="CLX266" s="651"/>
      <c r="CLY266" s="691"/>
      <c r="CLZ266" s="651"/>
      <c r="CMA266" s="691"/>
      <c r="CMB266" s="651"/>
      <c r="CMC266" s="691"/>
      <c r="CMD266" s="651"/>
      <c r="CME266" s="691"/>
      <c r="CMF266" s="651"/>
      <c r="CMG266" s="691"/>
      <c r="CMH266" s="651"/>
      <c r="CMI266" s="691"/>
      <c r="CMJ266" s="651"/>
      <c r="CMK266" s="691"/>
      <c r="CML266" s="651"/>
      <c r="CMM266" s="691"/>
      <c r="CMN266" s="651"/>
      <c r="CMO266" s="691"/>
      <c r="CMP266" s="651"/>
      <c r="CMQ266" s="691"/>
      <c r="CMR266" s="651"/>
      <c r="CMS266" s="691"/>
      <c r="CMT266" s="651"/>
      <c r="CMU266" s="691"/>
      <c r="CMV266" s="651"/>
      <c r="CMW266" s="691"/>
      <c r="CMX266" s="651"/>
      <c r="CMY266" s="691"/>
      <c r="CMZ266" s="651"/>
      <c r="CNA266" s="691"/>
      <c r="CNB266" s="651"/>
      <c r="CNC266" s="691"/>
      <c r="CND266" s="651"/>
      <c r="CNE266" s="691"/>
      <c r="CNF266" s="651"/>
      <c r="CNG266" s="691"/>
      <c r="CNH266" s="651"/>
      <c r="CNI266" s="691"/>
      <c r="CNJ266" s="651"/>
      <c r="CNK266" s="691"/>
      <c r="CNL266" s="651"/>
      <c r="CNM266" s="691"/>
      <c r="CNN266" s="651"/>
      <c r="CNO266" s="691"/>
      <c r="CNP266" s="651"/>
      <c r="CNQ266" s="691"/>
      <c r="CNR266" s="651"/>
      <c r="CNS266" s="691"/>
      <c r="CNT266" s="651"/>
      <c r="CNU266" s="691"/>
      <c r="CNV266" s="651"/>
      <c r="CNW266" s="691"/>
      <c r="CNX266" s="651"/>
      <c r="CNY266" s="691"/>
      <c r="CNZ266" s="651"/>
      <c r="COA266" s="691"/>
      <c r="COB266" s="651"/>
      <c r="COC266" s="691"/>
      <c r="COD266" s="651"/>
      <c r="COE266" s="691"/>
      <c r="COF266" s="651"/>
      <c r="COG266" s="691"/>
      <c r="COH266" s="651"/>
      <c r="COI266" s="691"/>
      <c r="COJ266" s="651"/>
      <c r="COK266" s="691"/>
      <c r="COL266" s="651"/>
      <c r="COM266" s="691"/>
      <c r="CON266" s="651"/>
      <c r="COO266" s="691"/>
      <c r="COP266" s="651"/>
      <c r="COQ266" s="691"/>
      <c r="COR266" s="651"/>
      <c r="COS266" s="691"/>
      <c r="COT266" s="651"/>
      <c r="COU266" s="691"/>
      <c r="COV266" s="651"/>
      <c r="COW266" s="691"/>
      <c r="COX266" s="651"/>
      <c r="COY266" s="691"/>
      <c r="COZ266" s="651"/>
      <c r="CPA266" s="691"/>
      <c r="CPB266" s="651"/>
      <c r="CPC266" s="691"/>
      <c r="CPD266" s="651"/>
      <c r="CPE266" s="691"/>
      <c r="CPF266" s="651"/>
      <c r="CPG266" s="691"/>
      <c r="CPH266" s="651"/>
      <c r="CPI266" s="691"/>
      <c r="CPJ266" s="651"/>
      <c r="CPK266" s="691"/>
      <c r="CPL266" s="651"/>
      <c r="CPM266" s="691"/>
      <c r="CPN266" s="651"/>
      <c r="CPO266" s="691"/>
      <c r="CPP266" s="651"/>
      <c r="CPQ266" s="691"/>
      <c r="CPR266" s="651"/>
      <c r="CPS266" s="691"/>
      <c r="CPT266" s="651"/>
      <c r="CPU266" s="691"/>
      <c r="CPV266" s="651"/>
      <c r="CPW266" s="691"/>
      <c r="CPX266" s="651"/>
      <c r="CPY266" s="691"/>
      <c r="CPZ266" s="651"/>
      <c r="CQA266" s="691"/>
      <c r="CQB266" s="651"/>
      <c r="CQC266" s="691"/>
      <c r="CQD266" s="651"/>
      <c r="CQE266" s="691"/>
      <c r="CQF266" s="651"/>
      <c r="CQG266" s="691"/>
      <c r="CQH266" s="651"/>
      <c r="CQI266" s="691"/>
      <c r="CQJ266" s="651"/>
      <c r="CQK266" s="691"/>
      <c r="CQL266" s="651"/>
      <c r="CQM266" s="691"/>
      <c r="CQN266" s="651"/>
      <c r="CQO266" s="691"/>
      <c r="CQP266" s="651"/>
      <c r="CQQ266" s="691"/>
      <c r="CQR266" s="651"/>
      <c r="CQS266" s="691"/>
      <c r="CQT266" s="651"/>
      <c r="CQU266" s="691"/>
      <c r="CQV266" s="651"/>
      <c r="CQW266" s="691"/>
      <c r="CQX266" s="651"/>
      <c r="CQY266" s="691"/>
      <c r="CQZ266" s="651"/>
      <c r="CRA266" s="691"/>
      <c r="CRB266" s="651"/>
      <c r="CRC266" s="691"/>
      <c r="CRD266" s="651"/>
      <c r="CRE266" s="691"/>
      <c r="CRF266" s="651"/>
      <c r="CRG266" s="691"/>
      <c r="CRH266" s="651"/>
      <c r="CRI266" s="691"/>
      <c r="CRJ266" s="651"/>
      <c r="CRK266" s="691"/>
      <c r="CRL266" s="651"/>
      <c r="CRM266" s="691"/>
      <c r="CRN266" s="651"/>
      <c r="CRO266" s="691"/>
      <c r="CRP266" s="651"/>
      <c r="CRQ266" s="691"/>
      <c r="CRR266" s="651"/>
      <c r="CRS266" s="691"/>
      <c r="CRT266" s="651"/>
      <c r="CRU266" s="691"/>
      <c r="CRV266" s="651"/>
      <c r="CRW266" s="691"/>
      <c r="CRX266" s="651"/>
      <c r="CRY266" s="691"/>
      <c r="CRZ266" s="651"/>
      <c r="CSA266" s="691"/>
      <c r="CSB266" s="651"/>
      <c r="CSC266" s="691"/>
      <c r="CSD266" s="651"/>
      <c r="CSE266" s="691"/>
      <c r="CSF266" s="651"/>
      <c r="CSG266" s="691"/>
      <c r="CSH266" s="651"/>
      <c r="CSI266" s="691"/>
      <c r="CSJ266" s="651"/>
      <c r="CSK266" s="691"/>
      <c r="CSL266" s="651"/>
      <c r="CSM266" s="691"/>
      <c r="CSN266" s="651"/>
      <c r="CSO266" s="691"/>
      <c r="CSP266" s="651"/>
      <c r="CSQ266" s="691"/>
      <c r="CSR266" s="651"/>
      <c r="CSS266" s="691"/>
      <c r="CST266" s="651"/>
      <c r="CSU266" s="691"/>
      <c r="CSV266" s="651"/>
      <c r="CSW266" s="691"/>
      <c r="CSX266" s="651"/>
      <c r="CSY266" s="691"/>
      <c r="CSZ266" s="651"/>
      <c r="CTA266" s="691"/>
      <c r="CTB266" s="651"/>
      <c r="CTC266" s="691"/>
      <c r="CTD266" s="651"/>
      <c r="CTE266" s="691"/>
      <c r="CTF266" s="651"/>
      <c r="CTG266" s="691"/>
      <c r="CTH266" s="651"/>
      <c r="CTI266" s="691"/>
      <c r="CTJ266" s="651"/>
      <c r="CTK266" s="691"/>
      <c r="CTL266" s="651"/>
      <c r="CTM266" s="691"/>
      <c r="CTN266" s="651"/>
      <c r="CTO266" s="691"/>
      <c r="CTP266" s="651"/>
      <c r="CTQ266" s="691"/>
      <c r="CTR266" s="651"/>
      <c r="CTS266" s="691"/>
      <c r="CTT266" s="651"/>
      <c r="CTU266" s="691"/>
      <c r="CTV266" s="651"/>
      <c r="CTW266" s="691"/>
      <c r="CTX266" s="651"/>
      <c r="CTY266" s="691"/>
      <c r="CTZ266" s="651"/>
      <c r="CUA266" s="691"/>
      <c r="CUB266" s="651"/>
      <c r="CUC266" s="691"/>
      <c r="CUD266" s="651"/>
      <c r="CUE266" s="691"/>
      <c r="CUF266" s="651"/>
      <c r="CUG266" s="691"/>
      <c r="CUH266" s="651"/>
      <c r="CUI266" s="691"/>
      <c r="CUJ266" s="651"/>
      <c r="CUK266" s="691"/>
      <c r="CUL266" s="651"/>
      <c r="CUM266" s="691"/>
      <c r="CUN266" s="651"/>
      <c r="CUO266" s="691"/>
      <c r="CUP266" s="651"/>
      <c r="CUQ266" s="691"/>
      <c r="CUR266" s="651"/>
      <c r="CUS266" s="691"/>
      <c r="CUT266" s="651"/>
      <c r="CUU266" s="691"/>
      <c r="CUV266" s="651"/>
      <c r="CUW266" s="691"/>
      <c r="CUX266" s="651"/>
      <c r="CUY266" s="691"/>
      <c r="CUZ266" s="651"/>
      <c r="CVA266" s="691"/>
      <c r="CVB266" s="651"/>
      <c r="CVC266" s="691"/>
      <c r="CVD266" s="651"/>
      <c r="CVE266" s="691"/>
      <c r="CVF266" s="651"/>
      <c r="CVG266" s="691"/>
      <c r="CVH266" s="651"/>
      <c r="CVI266" s="691"/>
      <c r="CVJ266" s="651"/>
      <c r="CVK266" s="691"/>
      <c r="CVL266" s="651"/>
      <c r="CVM266" s="691"/>
      <c r="CVN266" s="651"/>
      <c r="CVO266" s="691"/>
      <c r="CVP266" s="651"/>
      <c r="CVQ266" s="691"/>
      <c r="CVR266" s="651"/>
      <c r="CVS266" s="691"/>
      <c r="CVT266" s="651"/>
      <c r="CVU266" s="691"/>
      <c r="CVV266" s="651"/>
      <c r="CVW266" s="691"/>
      <c r="CVX266" s="651"/>
      <c r="CVY266" s="691"/>
      <c r="CVZ266" s="651"/>
      <c r="CWA266" s="691"/>
      <c r="CWB266" s="651"/>
      <c r="CWC266" s="691"/>
      <c r="CWD266" s="651"/>
      <c r="CWE266" s="691"/>
      <c r="CWF266" s="651"/>
      <c r="CWG266" s="691"/>
      <c r="CWH266" s="651"/>
      <c r="CWI266" s="691"/>
      <c r="CWJ266" s="651"/>
      <c r="CWK266" s="691"/>
      <c r="CWL266" s="651"/>
      <c r="CWM266" s="691"/>
      <c r="CWN266" s="651"/>
      <c r="CWO266" s="691"/>
      <c r="CWP266" s="651"/>
      <c r="CWQ266" s="691"/>
      <c r="CWR266" s="651"/>
      <c r="CWS266" s="691"/>
      <c r="CWT266" s="651"/>
      <c r="CWU266" s="691"/>
      <c r="CWV266" s="651"/>
      <c r="CWW266" s="691"/>
      <c r="CWX266" s="651"/>
      <c r="CWY266" s="691"/>
      <c r="CWZ266" s="651"/>
      <c r="CXA266" s="691"/>
      <c r="CXB266" s="651"/>
      <c r="CXC266" s="691"/>
      <c r="CXD266" s="651"/>
      <c r="CXE266" s="691"/>
      <c r="CXF266" s="651"/>
      <c r="CXG266" s="691"/>
      <c r="CXH266" s="651"/>
      <c r="CXI266" s="691"/>
      <c r="CXJ266" s="651"/>
      <c r="CXK266" s="691"/>
      <c r="CXL266" s="651"/>
      <c r="CXM266" s="691"/>
      <c r="CXN266" s="651"/>
      <c r="CXO266" s="691"/>
      <c r="CXP266" s="651"/>
      <c r="CXQ266" s="691"/>
      <c r="CXR266" s="651"/>
      <c r="CXS266" s="691"/>
      <c r="CXT266" s="651"/>
      <c r="CXU266" s="691"/>
      <c r="CXV266" s="651"/>
      <c r="CXW266" s="691"/>
      <c r="CXX266" s="651"/>
      <c r="CXY266" s="691"/>
      <c r="CXZ266" s="651"/>
      <c r="CYA266" s="691"/>
      <c r="CYB266" s="651"/>
      <c r="CYC266" s="691"/>
      <c r="CYD266" s="651"/>
      <c r="CYE266" s="691"/>
      <c r="CYF266" s="651"/>
      <c r="CYG266" s="691"/>
      <c r="CYH266" s="651"/>
      <c r="CYI266" s="691"/>
      <c r="CYJ266" s="651"/>
      <c r="CYK266" s="691"/>
      <c r="CYL266" s="651"/>
      <c r="CYM266" s="691"/>
      <c r="CYN266" s="651"/>
      <c r="CYO266" s="691"/>
      <c r="CYP266" s="651"/>
      <c r="CYQ266" s="691"/>
      <c r="CYR266" s="651"/>
      <c r="CYS266" s="691"/>
      <c r="CYT266" s="651"/>
      <c r="CYU266" s="691"/>
      <c r="CYV266" s="651"/>
      <c r="CYW266" s="691"/>
      <c r="CYX266" s="651"/>
      <c r="CYY266" s="691"/>
      <c r="CYZ266" s="651"/>
      <c r="CZA266" s="691"/>
      <c r="CZB266" s="651"/>
      <c r="CZC266" s="691"/>
      <c r="CZD266" s="651"/>
      <c r="CZE266" s="691"/>
      <c r="CZF266" s="651"/>
      <c r="CZG266" s="691"/>
      <c r="CZH266" s="651"/>
      <c r="CZI266" s="691"/>
      <c r="CZJ266" s="651"/>
      <c r="CZK266" s="691"/>
      <c r="CZL266" s="651"/>
      <c r="CZM266" s="691"/>
      <c r="CZN266" s="651"/>
      <c r="CZO266" s="691"/>
      <c r="CZP266" s="651"/>
      <c r="CZQ266" s="691"/>
      <c r="CZR266" s="651"/>
      <c r="CZS266" s="691"/>
      <c r="CZT266" s="651"/>
      <c r="CZU266" s="691"/>
      <c r="CZV266" s="651"/>
      <c r="CZW266" s="691"/>
      <c r="CZX266" s="651"/>
      <c r="CZY266" s="691"/>
      <c r="CZZ266" s="651"/>
      <c r="DAA266" s="691"/>
      <c r="DAB266" s="651"/>
      <c r="DAC266" s="691"/>
      <c r="DAD266" s="651"/>
      <c r="DAE266" s="691"/>
      <c r="DAF266" s="651"/>
      <c r="DAG266" s="691"/>
      <c r="DAH266" s="651"/>
      <c r="DAI266" s="691"/>
      <c r="DAJ266" s="651"/>
      <c r="DAK266" s="691"/>
      <c r="DAL266" s="651"/>
      <c r="DAM266" s="691"/>
      <c r="DAN266" s="651"/>
      <c r="DAO266" s="691"/>
      <c r="DAP266" s="651"/>
      <c r="DAQ266" s="691"/>
      <c r="DAR266" s="651"/>
      <c r="DAS266" s="691"/>
      <c r="DAT266" s="651"/>
      <c r="DAU266" s="691"/>
      <c r="DAV266" s="651"/>
      <c r="DAW266" s="691"/>
      <c r="DAX266" s="651"/>
      <c r="DAY266" s="691"/>
      <c r="DAZ266" s="651"/>
      <c r="DBA266" s="691"/>
      <c r="DBB266" s="651"/>
      <c r="DBC266" s="691"/>
      <c r="DBD266" s="651"/>
      <c r="DBE266" s="691"/>
      <c r="DBF266" s="651"/>
      <c r="DBG266" s="691"/>
      <c r="DBH266" s="651"/>
      <c r="DBI266" s="691"/>
      <c r="DBJ266" s="651"/>
      <c r="DBK266" s="691"/>
      <c r="DBL266" s="651"/>
      <c r="DBM266" s="691"/>
      <c r="DBN266" s="651"/>
      <c r="DBO266" s="691"/>
      <c r="DBP266" s="651"/>
      <c r="DBQ266" s="691"/>
      <c r="DBR266" s="651"/>
      <c r="DBS266" s="691"/>
      <c r="DBT266" s="651"/>
      <c r="DBU266" s="691"/>
      <c r="DBV266" s="651"/>
      <c r="DBW266" s="691"/>
      <c r="DBX266" s="651"/>
      <c r="DBY266" s="691"/>
      <c r="DBZ266" s="651"/>
      <c r="DCA266" s="691"/>
      <c r="DCB266" s="651"/>
      <c r="DCC266" s="691"/>
      <c r="DCD266" s="651"/>
      <c r="DCE266" s="691"/>
      <c r="DCF266" s="651"/>
      <c r="DCG266" s="691"/>
      <c r="DCH266" s="651"/>
      <c r="DCI266" s="691"/>
      <c r="DCJ266" s="651"/>
      <c r="DCK266" s="691"/>
      <c r="DCL266" s="651"/>
      <c r="DCM266" s="691"/>
      <c r="DCN266" s="651"/>
      <c r="DCO266" s="691"/>
      <c r="DCP266" s="651"/>
      <c r="DCQ266" s="691"/>
      <c r="DCR266" s="651"/>
      <c r="DCS266" s="691"/>
      <c r="DCT266" s="651"/>
      <c r="DCU266" s="691"/>
      <c r="DCV266" s="651"/>
      <c r="DCW266" s="691"/>
      <c r="DCX266" s="651"/>
      <c r="DCY266" s="691"/>
      <c r="DCZ266" s="651"/>
      <c r="DDA266" s="691"/>
      <c r="DDB266" s="651"/>
      <c r="DDC266" s="691"/>
      <c r="DDD266" s="651"/>
      <c r="DDE266" s="691"/>
      <c r="DDF266" s="651"/>
      <c r="DDG266" s="691"/>
      <c r="DDH266" s="651"/>
      <c r="DDI266" s="691"/>
      <c r="DDJ266" s="651"/>
      <c r="DDK266" s="691"/>
      <c r="DDL266" s="651"/>
      <c r="DDM266" s="691"/>
      <c r="DDN266" s="651"/>
      <c r="DDO266" s="691"/>
      <c r="DDP266" s="651"/>
      <c r="DDQ266" s="691"/>
      <c r="DDR266" s="651"/>
      <c r="DDS266" s="691"/>
      <c r="DDT266" s="651"/>
      <c r="DDU266" s="691"/>
      <c r="DDV266" s="651"/>
      <c r="DDW266" s="691"/>
      <c r="DDX266" s="651"/>
      <c r="DDY266" s="691"/>
      <c r="DDZ266" s="651"/>
      <c r="DEA266" s="691"/>
      <c r="DEB266" s="651"/>
      <c r="DEC266" s="691"/>
      <c r="DED266" s="651"/>
      <c r="DEE266" s="691"/>
      <c r="DEF266" s="651"/>
      <c r="DEG266" s="691"/>
      <c r="DEH266" s="651"/>
      <c r="DEI266" s="691"/>
      <c r="DEJ266" s="651"/>
      <c r="DEK266" s="691"/>
      <c r="DEL266" s="651"/>
      <c r="DEM266" s="691"/>
      <c r="DEN266" s="651"/>
      <c r="DEO266" s="691"/>
      <c r="DEP266" s="651"/>
      <c r="DEQ266" s="691"/>
      <c r="DER266" s="651"/>
      <c r="DES266" s="691"/>
      <c r="DET266" s="651"/>
      <c r="DEU266" s="691"/>
      <c r="DEV266" s="651"/>
      <c r="DEW266" s="691"/>
      <c r="DEX266" s="651"/>
      <c r="DEY266" s="691"/>
      <c r="DEZ266" s="651"/>
      <c r="DFA266" s="691"/>
      <c r="DFB266" s="651"/>
      <c r="DFC266" s="691"/>
      <c r="DFD266" s="651"/>
      <c r="DFE266" s="691"/>
      <c r="DFF266" s="651"/>
      <c r="DFG266" s="691"/>
      <c r="DFH266" s="651"/>
      <c r="DFI266" s="691"/>
      <c r="DFJ266" s="651"/>
      <c r="DFK266" s="691"/>
      <c r="DFL266" s="651"/>
      <c r="DFM266" s="691"/>
      <c r="DFN266" s="651"/>
      <c r="DFO266" s="691"/>
      <c r="DFP266" s="651"/>
      <c r="DFQ266" s="691"/>
      <c r="DFR266" s="651"/>
      <c r="DFS266" s="691"/>
      <c r="DFT266" s="651"/>
      <c r="DFU266" s="691"/>
      <c r="DFV266" s="651"/>
      <c r="DFW266" s="691"/>
      <c r="DFX266" s="651"/>
      <c r="DFY266" s="691"/>
      <c r="DFZ266" s="651"/>
      <c r="DGA266" s="691"/>
      <c r="DGB266" s="651"/>
      <c r="DGC266" s="691"/>
      <c r="DGD266" s="651"/>
      <c r="DGE266" s="691"/>
      <c r="DGF266" s="651"/>
      <c r="DGG266" s="691"/>
      <c r="DGH266" s="651"/>
      <c r="DGI266" s="691"/>
      <c r="DGJ266" s="651"/>
      <c r="DGK266" s="691"/>
      <c r="DGL266" s="651"/>
      <c r="DGM266" s="691"/>
      <c r="DGN266" s="651"/>
      <c r="DGO266" s="691"/>
      <c r="DGP266" s="651"/>
      <c r="DGQ266" s="691"/>
      <c r="DGR266" s="651"/>
      <c r="DGS266" s="691"/>
      <c r="DGT266" s="651"/>
      <c r="DGU266" s="691"/>
      <c r="DGV266" s="651"/>
      <c r="DGW266" s="691"/>
      <c r="DGX266" s="651"/>
      <c r="DGY266" s="691"/>
      <c r="DGZ266" s="651"/>
      <c r="DHA266" s="691"/>
      <c r="DHB266" s="651"/>
      <c r="DHC266" s="691"/>
      <c r="DHD266" s="651"/>
      <c r="DHE266" s="691"/>
      <c r="DHF266" s="651"/>
      <c r="DHG266" s="691"/>
      <c r="DHH266" s="651"/>
      <c r="DHI266" s="691"/>
      <c r="DHJ266" s="651"/>
      <c r="DHK266" s="691"/>
      <c r="DHL266" s="651"/>
      <c r="DHM266" s="691"/>
      <c r="DHN266" s="651"/>
      <c r="DHO266" s="691"/>
      <c r="DHP266" s="651"/>
      <c r="DHQ266" s="691"/>
      <c r="DHR266" s="651"/>
      <c r="DHS266" s="691"/>
      <c r="DHT266" s="651"/>
      <c r="DHU266" s="691"/>
      <c r="DHV266" s="651"/>
      <c r="DHW266" s="691"/>
      <c r="DHX266" s="651"/>
      <c r="DHY266" s="691"/>
      <c r="DHZ266" s="651"/>
      <c r="DIA266" s="691"/>
      <c r="DIB266" s="651"/>
      <c r="DIC266" s="691"/>
      <c r="DID266" s="651"/>
      <c r="DIE266" s="691"/>
      <c r="DIF266" s="651"/>
      <c r="DIG266" s="691"/>
      <c r="DIH266" s="651"/>
      <c r="DII266" s="691"/>
      <c r="DIJ266" s="651"/>
      <c r="DIK266" s="691"/>
      <c r="DIL266" s="651"/>
      <c r="DIM266" s="691"/>
      <c r="DIN266" s="651"/>
      <c r="DIO266" s="691"/>
      <c r="DIP266" s="651"/>
      <c r="DIQ266" s="691"/>
      <c r="DIR266" s="651"/>
      <c r="DIS266" s="691"/>
      <c r="DIT266" s="651"/>
      <c r="DIU266" s="691"/>
      <c r="DIV266" s="651"/>
      <c r="DIW266" s="691"/>
      <c r="DIX266" s="651"/>
      <c r="DIY266" s="691"/>
      <c r="DIZ266" s="651"/>
      <c r="DJA266" s="691"/>
      <c r="DJB266" s="651"/>
      <c r="DJC266" s="691"/>
      <c r="DJD266" s="651"/>
      <c r="DJE266" s="691"/>
      <c r="DJF266" s="651"/>
      <c r="DJG266" s="691"/>
      <c r="DJH266" s="651"/>
      <c r="DJI266" s="691"/>
      <c r="DJJ266" s="651"/>
      <c r="DJK266" s="691"/>
      <c r="DJL266" s="651"/>
      <c r="DJM266" s="691"/>
      <c r="DJN266" s="651"/>
      <c r="DJO266" s="691"/>
      <c r="DJP266" s="651"/>
      <c r="DJQ266" s="691"/>
      <c r="DJR266" s="651"/>
      <c r="DJS266" s="691"/>
      <c r="DJT266" s="651"/>
      <c r="DJU266" s="691"/>
      <c r="DJV266" s="651"/>
      <c r="DJW266" s="691"/>
      <c r="DJX266" s="651"/>
      <c r="DJY266" s="691"/>
      <c r="DJZ266" s="651"/>
      <c r="DKA266" s="691"/>
      <c r="DKB266" s="651"/>
      <c r="DKC266" s="691"/>
      <c r="DKD266" s="651"/>
      <c r="DKE266" s="691"/>
      <c r="DKF266" s="651"/>
      <c r="DKG266" s="691"/>
      <c r="DKH266" s="651"/>
      <c r="DKI266" s="691"/>
      <c r="DKJ266" s="651"/>
      <c r="DKK266" s="691"/>
      <c r="DKL266" s="651"/>
      <c r="DKM266" s="691"/>
      <c r="DKN266" s="651"/>
      <c r="DKO266" s="691"/>
      <c r="DKP266" s="651"/>
      <c r="DKQ266" s="691"/>
      <c r="DKR266" s="651"/>
      <c r="DKS266" s="691"/>
      <c r="DKT266" s="651"/>
      <c r="DKU266" s="691"/>
      <c r="DKV266" s="651"/>
      <c r="DKW266" s="691"/>
      <c r="DKX266" s="651"/>
      <c r="DKY266" s="691"/>
      <c r="DKZ266" s="651"/>
      <c r="DLA266" s="691"/>
      <c r="DLB266" s="651"/>
      <c r="DLC266" s="691"/>
      <c r="DLD266" s="651"/>
      <c r="DLE266" s="691"/>
      <c r="DLF266" s="651"/>
      <c r="DLG266" s="691"/>
      <c r="DLH266" s="651"/>
      <c r="DLI266" s="691"/>
      <c r="DLJ266" s="651"/>
      <c r="DLK266" s="691"/>
      <c r="DLL266" s="651"/>
      <c r="DLM266" s="691"/>
      <c r="DLN266" s="651"/>
      <c r="DLO266" s="691"/>
      <c r="DLP266" s="651"/>
      <c r="DLQ266" s="691"/>
      <c r="DLR266" s="651"/>
      <c r="DLS266" s="691"/>
      <c r="DLT266" s="651"/>
      <c r="DLU266" s="691"/>
      <c r="DLV266" s="651"/>
      <c r="DLW266" s="691"/>
      <c r="DLX266" s="651"/>
      <c r="DLY266" s="691"/>
      <c r="DLZ266" s="651"/>
      <c r="DMA266" s="691"/>
      <c r="DMB266" s="651"/>
      <c r="DMC266" s="691"/>
      <c r="DMD266" s="651"/>
      <c r="DME266" s="691"/>
      <c r="DMF266" s="651"/>
      <c r="DMG266" s="691"/>
      <c r="DMH266" s="651"/>
      <c r="DMI266" s="691"/>
      <c r="DMJ266" s="651"/>
      <c r="DMK266" s="691"/>
      <c r="DML266" s="651"/>
      <c r="DMM266" s="691"/>
      <c r="DMN266" s="651"/>
      <c r="DMO266" s="691"/>
      <c r="DMP266" s="651"/>
      <c r="DMQ266" s="691"/>
      <c r="DMR266" s="651"/>
      <c r="DMS266" s="691"/>
      <c r="DMT266" s="651"/>
      <c r="DMU266" s="691"/>
      <c r="DMV266" s="651"/>
      <c r="DMW266" s="691"/>
      <c r="DMX266" s="651"/>
      <c r="DMY266" s="691"/>
      <c r="DMZ266" s="651"/>
      <c r="DNA266" s="691"/>
      <c r="DNB266" s="651"/>
      <c r="DNC266" s="691"/>
      <c r="DND266" s="651"/>
      <c r="DNE266" s="691"/>
      <c r="DNF266" s="651"/>
      <c r="DNG266" s="691"/>
      <c r="DNH266" s="651"/>
      <c r="DNI266" s="691"/>
      <c r="DNJ266" s="651"/>
      <c r="DNK266" s="691"/>
      <c r="DNL266" s="651"/>
      <c r="DNM266" s="691"/>
      <c r="DNN266" s="651"/>
      <c r="DNO266" s="691"/>
      <c r="DNP266" s="651"/>
      <c r="DNQ266" s="691"/>
      <c r="DNR266" s="651"/>
      <c r="DNS266" s="691"/>
      <c r="DNT266" s="651"/>
      <c r="DNU266" s="691"/>
      <c r="DNV266" s="651"/>
      <c r="DNW266" s="691"/>
      <c r="DNX266" s="651"/>
      <c r="DNY266" s="691"/>
      <c r="DNZ266" s="651"/>
      <c r="DOA266" s="691"/>
      <c r="DOB266" s="651"/>
      <c r="DOC266" s="691"/>
      <c r="DOD266" s="651"/>
      <c r="DOE266" s="691"/>
      <c r="DOF266" s="651"/>
      <c r="DOG266" s="691"/>
      <c r="DOH266" s="651"/>
      <c r="DOI266" s="691"/>
      <c r="DOJ266" s="651"/>
      <c r="DOK266" s="691"/>
      <c r="DOL266" s="651"/>
      <c r="DOM266" s="691"/>
      <c r="DON266" s="651"/>
      <c r="DOO266" s="691"/>
      <c r="DOP266" s="651"/>
      <c r="DOQ266" s="691"/>
      <c r="DOR266" s="651"/>
      <c r="DOS266" s="691"/>
      <c r="DOT266" s="651"/>
      <c r="DOU266" s="691"/>
      <c r="DOV266" s="651"/>
      <c r="DOW266" s="691"/>
      <c r="DOX266" s="651"/>
      <c r="DOY266" s="691"/>
      <c r="DOZ266" s="651"/>
      <c r="DPA266" s="691"/>
      <c r="DPB266" s="651"/>
      <c r="DPC266" s="691"/>
      <c r="DPD266" s="651"/>
      <c r="DPE266" s="691"/>
      <c r="DPF266" s="651"/>
      <c r="DPG266" s="691"/>
      <c r="DPH266" s="651"/>
      <c r="DPI266" s="691"/>
      <c r="DPJ266" s="651"/>
      <c r="DPK266" s="691"/>
      <c r="DPL266" s="651"/>
      <c r="DPM266" s="691"/>
      <c r="DPN266" s="651"/>
      <c r="DPO266" s="691"/>
      <c r="DPP266" s="651"/>
      <c r="DPQ266" s="691"/>
      <c r="DPR266" s="651"/>
      <c r="DPS266" s="691"/>
      <c r="DPT266" s="651"/>
      <c r="DPU266" s="691"/>
      <c r="DPV266" s="651"/>
      <c r="DPW266" s="691"/>
      <c r="DPX266" s="651"/>
      <c r="DPY266" s="691"/>
      <c r="DPZ266" s="651"/>
      <c r="DQA266" s="691"/>
      <c r="DQB266" s="651"/>
      <c r="DQC266" s="691"/>
      <c r="DQD266" s="651"/>
      <c r="DQE266" s="691"/>
      <c r="DQF266" s="651"/>
      <c r="DQG266" s="691"/>
      <c r="DQH266" s="651"/>
      <c r="DQI266" s="691"/>
      <c r="DQJ266" s="651"/>
      <c r="DQK266" s="691"/>
      <c r="DQL266" s="651"/>
      <c r="DQM266" s="691"/>
      <c r="DQN266" s="651"/>
      <c r="DQO266" s="691"/>
      <c r="DQP266" s="651"/>
      <c r="DQQ266" s="691"/>
      <c r="DQR266" s="651"/>
      <c r="DQS266" s="691"/>
      <c r="DQT266" s="651"/>
      <c r="DQU266" s="691"/>
      <c r="DQV266" s="651"/>
      <c r="DQW266" s="691"/>
      <c r="DQX266" s="651"/>
      <c r="DQY266" s="691"/>
      <c r="DQZ266" s="651"/>
      <c r="DRA266" s="691"/>
      <c r="DRB266" s="651"/>
      <c r="DRC266" s="691"/>
      <c r="DRD266" s="651"/>
      <c r="DRE266" s="691"/>
      <c r="DRF266" s="651"/>
      <c r="DRG266" s="691"/>
      <c r="DRH266" s="651"/>
      <c r="DRI266" s="691"/>
      <c r="DRJ266" s="651"/>
      <c r="DRK266" s="691"/>
      <c r="DRL266" s="651"/>
      <c r="DRM266" s="691"/>
      <c r="DRN266" s="651"/>
      <c r="DRO266" s="691"/>
      <c r="DRP266" s="651"/>
      <c r="DRQ266" s="691"/>
      <c r="DRR266" s="651"/>
      <c r="DRS266" s="691"/>
      <c r="DRT266" s="651"/>
      <c r="DRU266" s="691"/>
      <c r="DRV266" s="651"/>
      <c r="DRW266" s="691"/>
      <c r="DRX266" s="651"/>
      <c r="DRY266" s="691"/>
      <c r="DRZ266" s="651"/>
      <c r="DSA266" s="691"/>
      <c r="DSB266" s="651"/>
      <c r="DSC266" s="691"/>
      <c r="DSD266" s="651"/>
      <c r="DSE266" s="691"/>
      <c r="DSF266" s="651"/>
      <c r="DSG266" s="691"/>
      <c r="DSH266" s="651"/>
      <c r="DSI266" s="691"/>
      <c r="DSJ266" s="651"/>
      <c r="DSK266" s="691"/>
      <c r="DSL266" s="651"/>
      <c r="DSM266" s="691"/>
      <c r="DSN266" s="651"/>
      <c r="DSO266" s="691"/>
      <c r="DSP266" s="651"/>
      <c r="DSQ266" s="691"/>
      <c r="DSR266" s="651"/>
      <c r="DSS266" s="691"/>
      <c r="DST266" s="651"/>
      <c r="DSU266" s="691"/>
      <c r="DSV266" s="651"/>
      <c r="DSW266" s="691"/>
      <c r="DSX266" s="651"/>
      <c r="DSY266" s="691"/>
      <c r="DSZ266" s="651"/>
      <c r="DTA266" s="691"/>
      <c r="DTB266" s="651"/>
      <c r="DTC266" s="691"/>
      <c r="DTD266" s="651"/>
      <c r="DTE266" s="691"/>
      <c r="DTF266" s="651"/>
      <c r="DTG266" s="691"/>
      <c r="DTH266" s="651"/>
      <c r="DTI266" s="691"/>
      <c r="DTJ266" s="651"/>
      <c r="DTK266" s="691"/>
      <c r="DTL266" s="651"/>
      <c r="DTM266" s="691"/>
      <c r="DTN266" s="651"/>
      <c r="DTO266" s="691"/>
      <c r="DTP266" s="651"/>
      <c r="DTQ266" s="691"/>
      <c r="DTR266" s="651"/>
      <c r="DTS266" s="691"/>
      <c r="DTT266" s="651"/>
      <c r="DTU266" s="691"/>
      <c r="DTV266" s="651"/>
      <c r="DTW266" s="691"/>
      <c r="DTX266" s="651"/>
      <c r="DTY266" s="691"/>
      <c r="DTZ266" s="651"/>
      <c r="DUA266" s="691"/>
      <c r="DUB266" s="651"/>
      <c r="DUC266" s="691"/>
      <c r="DUD266" s="651"/>
      <c r="DUE266" s="691"/>
      <c r="DUF266" s="651"/>
      <c r="DUG266" s="691"/>
      <c r="DUH266" s="651"/>
      <c r="DUI266" s="691"/>
      <c r="DUJ266" s="651"/>
      <c r="DUK266" s="691"/>
      <c r="DUL266" s="651"/>
      <c r="DUM266" s="691"/>
      <c r="DUN266" s="651"/>
      <c r="DUO266" s="691"/>
      <c r="DUP266" s="651"/>
      <c r="DUQ266" s="691"/>
      <c r="DUR266" s="651"/>
      <c r="DUS266" s="691"/>
      <c r="DUT266" s="651"/>
      <c r="DUU266" s="691"/>
      <c r="DUV266" s="651"/>
      <c r="DUW266" s="691"/>
      <c r="DUX266" s="651"/>
      <c r="DUY266" s="691"/>
      <c r="DUZ266" s="651"/>
      <c r="DVA266" s="691"/>
      <c r="DVB266" s="651"/>
      <c r="DVC266" s="691"/>
      <c r="DVD266" s="651"/>
      <c r="DVE266" s="691"/>
      <c r="DVF266" s="651"/>
      <c r="DVG266" s="691"/>
      <c r="DVH266" s="651"/>
      <c r="DVI266" s="691"/>
      <c r="DVJ266" s="651"/>
      <c r="DVK266" s="691"/>
      <c r="DVL266" s="651"/>
      <c r="DVM266" s="691"/>
      <c r="DVN266" s="651"/>
      <c r="DVO266" s="691"/>
      <c r="DVP266" s="651"/>
      <c r="DVQ266" s="691"/>
      <c r="DVR266" s="651"/>
      <c r="DVS266" s="691"/>
      <c r="DVT266" s="651"/>
      <c r="DVU266" s="691"/>
      <c r="DVV266" s="651"/>
      <c r="DVW266" s="691"/>
      <c r="DVX266" s="651"/>
      <c r="DVY266" s="691"/>
      <c r="DVZ266" s="651"/>
      <c r="DWA266" s="691"/>
      <c r="DWB266" s="651"/>
      <c r="DWC266" s="691"/>
      <c r="DWD266" s="651"/>
      <c r="DWE266" s="691"/>
      <c r="DWF266" s="651"/>
      <c r="DWG266" s="691"/>
      <c r="DWH266" s="651"/>
      <c r="DWI266" s="691"/>
      <c r="DWJ266" s="651"/>
      <c r="DWK266" s="691"/>
      <c r="DWL266" s="651"/>
      <c r="DWM266" s="691"/>
      <c r="DWN266" s="651"/>
      <c r="DWO266" s="691"/>
      <c r="DWP266" s="651"/>
      <c r="DWQ266" s="691"/>
      <c r="DWR266" s="651"/>
      <c r="DWS266" s="691"/>
      <c r="DWT266" s="651"/>
      <c r="DWU266" s="691"/>
      <c r="DWV266" s="651"/>
      <c r="DWW266" s="691"/>
      <c r="DWX266" s="651"/>
      <c r="DWY266" s="691"/>
      <c r="DWZ266" s="651"/>
      <c r="DXA266" s="691"/>
      <c r="DXB266" s="651"/>
      <c r="DXC266" s="691"/>
      <c r="DXD266" s="651"/>
      <c r="DXE266" s="691"/>
      <c r="DXF266" s="651"/>
      <c r="DXG266" s="691"/>
      <c r="DXH266" s="651"/>
      <c r="DXI266" s="691"/>
      <c r="DXJ266" s="651"/>
      <c r="DXK266" s="691"/>
      <c r="DXL266" s="651"/>
      <c r="DXM266" s="691"/>
      <c r="DXN266" s="651"/>
      <c r="DXO266" s="691"/>
      <c r="DXP266" s="651"/>
      <c r="DXQ266" s="691"/>
      <c r="DXR266" s="651"/>
      <c r="DXS266" s="691"/>
      <c r="DXT266" s="651"/>
      <c r="DXU266" s="691"/>
      <c r="DXV266" s="651"/>
      <c r="DXW266" s="691"/>
      <c r="DXX266" s="651"/>
      <c r="DXY266" s="691"/>
      <c r="DXZ266" s="651"/>
      <c r="DYA266" s="691"/>
      <c r="DYB266" s="651"/>
      <c r="DYC266" s="691"/>
      <c r="DYD266" s="651"/>
      <c r="DYE266" s="691"/>
      <c r="DYF266" s="651"/>
      <c r="DYG266" s="691"/>
      <c r="DYH266" s="651"/>
      <c r="DYI266" s="691"/>
      <c r="DYJ266" s="651"/>
      <c r="DYK266" s="691"/>
      <c r="DYL266" s="651"/>
      <c r="DYM266" s="691"/>
      <c r="DYN266" s="651"/>
      <c r="DYO266" s="691"/>
      <c r="DYP266" s="651"/>
      <c r="DYQ266" s="691"/>
      <c r="DYR266" s="651"/>
      <c r="DYS266" s="691"/>
      <c r="DYT266" s="651"/>
      <c r="DYU266" s="691"/>
      <c r="DYV266" s="651"/>
      <c r="DYW266" s="691"/>
      <c r="DYX266" s="651"/>
      <c r="DYY266" s="691"/>
      <c r="DYZ266" s="651"/>
      <c r="DZA266" s="691"/>
      <c r="DZB266" s="651"/>
      <c r="DZC266" s="691"/>
      <c r="DZD266" s="651"/>
      <c r="DZE266" s="691"/>
      <c r="DZF266" s="651"/>
      <c r="DZG266" s="691"/>
      <c r="DZH266" s="651"/>
      <c r="DZI266" s="691"/>
      <c r="DZJ266" s="651"/>
      <c r="DZK266" s="691"/>
      <c r="DZL266" s="651"/>
      <c r="DZM266" s="691"/>
      <c r="DZN266" s="651"/>
      <c r="DZO266" s="691"/>
      <c r="DZP266" s="651"/>
      <c r="DZQ266" s="691"/>
      <c r="DZR266" s="651"/>
      <c r="DZS266" s="691"/>
      <c r="DZT266" s="651"/>
      <c r="DZU266" s="691"/>
      <c r="DZV266" s="651"/>
      <c r="DZW266" s="691"/>
      <c r="DZX266" s="651"/>
      <c r="DZY266" s="691"/>
      <c r="DZZ266" s="651"/>
      <c r="EAA266" s="691"/>
      <c r="EAB266" s="651"/>
      <c r="EAC266" s="691"/>
      <c r="EAD266" s="651"/>
      <c r="EAE266" s="691"/>
      <c r="EAF266" s="651"/>
      <c r="EAG266" s="691"/>
      <c r="EAH266" s="651"/>
      <c r="EAI266" s="691"/>
      <c r="EAJ266" s="651"/>
      <c r="EAK266" s="691"/>
      <c r="EAL266" s="651"/>
      <c r="EAM266" s="691"/>
      <c r="EAN266" s="651"/>
      <c r="EAO266" s="691"/>
      <c r="EAP266" s="651"/>
      <c r="EAQ266" s="691"/>
      <c r="EAR266" s="651"/>
      <c r="EAS266" s="691"/>
      <c r="EAT266" s="651"/>
      <c r="EAU266" s="691"/>
      <c r="EAV266" s="651"/>
      <c r="EAW266" s="691"/>
      <c r="EAX266" s="651"/>
      <c r="EAY266" s="691"/>
      <c r="EAZ266" s="651"/>
      <c r="EBA266" s="691"/>
      <c r="EBB266" s="651"/>
      <c r="EBC266" s="691"/>
      <c r="EBD266" s="651"/>
      <c r="EBE266" s="691"/>
      <c r="EBF266" s="651"/>
      <c r="EBG266" s="691"/>
      <c r="EBH266" s="651"/>
      <c r="EBI266" s="691"/>
      <c r="EBJ266" s="651"/>
      <c r="EBK266" s="691"/>
      <c r="EBL266" s="651"/>
      <c r="EBM266" s="691"/>
      <c r="EBN266" s="651"/>
      <c r="EBO266" s="691"/>
      <c r="EBP266" s="651"/>
      <c r="EBQ266" s="691"/>
      <c r="EBR266" s="651"/>
      <c r="EBS266" s="691"/>
      <c r="EBT266" s="651"/>
      <c r="EBU266" s="691"/>
      <c r="EBV266" s="651"/>
      <c r="EBW266" s="691"/>
      <c r="EBX266" s="651"/>
      <c r="EBY266" s="691"/>
      <c r="EBZ266" s="651"/>
      <c r="ECA266" s="691"/>
      <c r="ECB266" s="651"/>
      <c r="ECC266" s="691"/>
      <c r="ECD266" s="651"/>
      <c r="ECE266" s="691"/>
      <c r="ECF266" s="651"/>
      <c r="ECG266" s="691"/>
      <c r="ECH266" s="651"/>
      <c r="ECI266" s="691"/>
      <c r="ECJ266" s="651"/>
      <c r="ECK266" s="691"/>
      <c r="ECL266" s="651"/>
      <c r="ECM266" s="691"/>
      <c r="ECN266" s="651"/>
      <c r="ECO266" s="691"/>
      <c r="ECP266" s="651"/>
      <c r="ECQ266" s="691"/>
      <c r="ECR266" s="651"/>
      <c r="ECS266" s="691"/>
      <c r="ECT266" s="651"/>
      <c r="ECU266" s="691"/>
      <c r="ECV266" s="651"/>
      <c r="ECW266" s="691"/>
      <c r="ECX266" s="651"/>
      <c r="ECY266" s="691"/>
      <c r="ECZ266" s="651"/>
      <c r="EDA266" s="691"/>
      <c r="EDB266" s="651"/>
      <c r="EDC266" s="691"/>
      <c r="EDD266" s="651"/>
      <c r="EDE266" s="691"/>
      <c r="EDF266" s="651"/>
      <c r="EDG266" s="691"/>
      <c r="EDH266" s="651"/>
      <c r="EDI266" s="691"/>
      <c r="EDJ266" s="651"/>
      <c r="EDK266" s="691"/>
      <c r="EDL266" s="651"/>
      <c r="EDM266" s="691"/>
      <c r="EDN266" s="651"/>
      <c r="EDO266" s="691"/>
      <c r="EDP266" s="651"/>
      <c r="EDQ266" s="691"/>
      <c r="EDR266" s="651"/>
      <c r="EDS266" s="691"/>
      <c r="EDT266" s="651"/>
      <c r="EDU266" s="691"/>
      <c r="EDV266" s="651"/>
      <c r="EDW266" s="691"/>
      <c r="EDX266" s="651"/>
      <c r="EDY266" s="691"/>
      <c r="EDZ266" s="651"/>
      <c r="EEA266" s="691"/>
      <c r="EEB266" s="651"/>
      <c r="EEC266" s="691"/>
      <c r="EED266" s="651"/>
      <c r="EEE266" s="691"/>
      <c r="EEF266" s="651"/>
      <c r="EEG266" s="691"/>
      <c r="EEH266" s="651"/>
      <c r="EEI266" s="691"/>
      <c r="EEJ266" s="651"/>
      <c r="EEK266" s="691"/>
      <c r="EEL266" s="651"/>
      <c r="EEM266" s="691"/>
      <c r="EEN266" s="651"/>
      <c r="EEO266" s="691"/>
      <c r="EEP266" s="651"/>
      <c r="EEQ266" s="691"/>
      <c r="EER266" s="651"/>
      <c r="EES266" s="691"/>
      <c r="EET266" s="651"/>
      <c r="EEU266" s="691"/>
      <c r="EEV266" s="651"/>
      <c r="EEW266" s="691"/>
      <c r="EEX266" s="651"/>
      <c r="EEY266" s="691"/>
      <c r="EEZ266" s="651"/>
      <c r="EFA266" s="691"/>
      <c r="EFB266" s="651"/>
      <c r="EFC266" s="691"/>
      <c r="EFD266" s="651"/>
      <c r="EFE266" s="691"/>
      <c r="EFF266" s="651"/>
      <c r="EFG266" s="691"/>
      <c r="EFH266" s="651"/>
      <c r="EFI266" s="691"/>
      <c r="EFJ266" s="651"/>
      <c r="EFK266" s="691"/>
      <c r="EFL266" s="651"/>
      <c r="EFM266" s="691"/>
      <c r="EFN266" s="651"/>
      <c r="EFO266" s="691"/>
      <c r="EFP266" s="651"/>
      <c r="EFQ266" s="691"/>
      <c r="EFR266" s="651"/>
      <c r="EFS266" s="691"/>
      <c r="EFT266" s="651"/>
      <c r="EFU266" s="691"/>
      <c r="EFV266" s="651"/>
      <c r="EFW266" s="691"/>
      <c r="EFX266" s="651"/>
      <c r="EFY266" s="691"/>
      <c r="EFZ266" s="651"/>
      <c r="EGA266" s="691"/>
      <c r="EGB266" s="651"/>
      <c r="EGC266" s="691"/>
      <c r="EGD266" s="651"/>
      <c r="EGE266" s="691"/>
      <c r="EGF266" s="651"/>
      <c r="EGG266" s="691"/>
      <c r="EGH266" s="651"/>
      <c r="EGI266" s="691"/>
      <c r="EGJ266" s="651"/>
      <c r="EGK266" s="691"/>
      <c r="EGL266" s="651"/>
      <c r="EGM266" s="691"/>
      <c r="EGN266" s="651"/>
      <c r="EGO266" s="691"/>
      <c r="EGP266" s="651"/>
      <c r="EGQ266" s="691"/>
      <c r="EGR266" s="651"/>
      <c r="EGS266" s="691"/>
      <c r="EGT266" s="651"/>
      <c r="EGU266" s="691"/>
      <c r="EGV266" s="651"/>
      <c r="EGW266" s="691"/>
      <c r="EGX266" s="651"/>
      <c r="EGY266" s="691"/>
      <c r="EGZ266" s="651"/>
      <c r="EHA266" s="691"/>
      <c r="EHB266" s="651"/>
      <c r="EHC266" s="691"/>
      <c r="EHD266" s="651"/>
      <c r="EHE266" s="691"/>
      <c r="EHF266" s="651"/>
      <c r="EHG266" s="691"/>
      <c r="EHH266" s="651"/>
      <c r="EHI266" s="691"/>
      <c r="EHJ266" s="651"/>
      <c r="EHK266" s="691"/>
      <c r="EHL266" s="651"/>
      <c r="EHM266" s="691"/>
      <c r="EHN266" s="651"/>
      <c r="EHO266" s="691"/>
      <c r="EHP266" s="651"/>
      <c r="EHQ266" s="691"/>
      <c r="EHR266" s="651"/>
      <c r="EHS266" s="691"/>
      <c r="EHT266" s="651"/>
      <c r="EHU266" s="691"/>
      <c r="EHV266" s="651"/>
      <c r="EHW266" s="691"/>
      <c r="EHX266" s="651"/>
      <c r="EHY266" s="691"/>
      <c r="EHZ266" s="651"/>
      <c r="EIA266" s="691"/>
      <c r="EIB266" s="651"/>
      <c r="EIC266" s="691"/>
      <c r="EID266" s="651"/>
      <c r="EIE266" s="691"/>
      <c r="EIF266" s="651"/>
      <c r="EIG266" s="691"/>
      <c r="EIH266" s="651"/>
      <c r="EII266" s="691"/>
      <c r="EIJ266" s="651"/>
      <c r="EIK266" s="691"/>
      <c r="EIL266" s="651"/>
      <c r="EIM266" s="691"/>
      <c r="EIN266" s="651"/>
      <c r="EIO266" s="691"/>
      <c r="EIP266" s="651"/>
      <c r="EIQ266" s="691"/>
      <c r="EIR266" s="651"/>
      <c r="EIS266" s="691"/>
      <c r="EIT266" s="651"/>
      <c r="EIU266" s="691"/>
      <c r="EIV266" s="651"/>
      <c r="EIW266" s="691"/>
      <c r="EIX266" s="651"/>
      <c r="EIY266" s="691"/>
      <c r="EIZ266" s="651"/>
      <c r="EJA266" s="691"/>
      <c r="EJB266" s="651"/>
      <c r="EJC266" s="691"/>
      <c r="EJD266" s="651"/>
      <c r="EJE266" s="691"/>
      <c r="EJF266" s="651"/>
      <c r="EJG266" s="691"/>
      <c r="EJH266" s="651"/>
      <c r="EJI266" s="691"/>
      <c r="EJJ266" s="651"/>
      <c r="EJK266" s="691"/>
      <c r="EJL266" s="651"/>
      <c r="EJM266" s="691"/>
      <c r="EJN266" s="651"/>
      <c r="EJO266" s="691"/>
      <c r="EJP266" s="651"/>
      <c r="EJQ266" s="691"/>
      <c r="EJR266" s="651"/>
      <c r="EJS266" s="691"/>
      <c r="EJT266" s="651"/>
      <c r="EJU266" s="691"/>
      <c r="EJV266" s="651"/>
      <c r="EJW266" s="691"/>
      <c r="EJX266" s="651"/>
      <c r="EJY266" s="691"/>
      <c r="EJZ266" s="651"/>
      <c r="EKA266" s="691"/>
      <c r="EKB266" s="651"/>
      <c r="EKC266" s="691"/>
      <c r="EKD266" s="651"/>
      <c r="EKE266" s="691"/>
      <c r="EKF266" s="651"/>
      <c r="EKG266" s="691"/>
      <c r="EKH266" s="651"/>
      <c r="EKI266" s="691"/>
      <c r="EKJ266" s="651"/>
      <c r="EKK266" s="691"/>
      <c r="EKL266" s="651"/>
      <c r="EKM266" s="691"/>
      <c r="EKN266" s="651"/>
      <c r="EKO266" s="691"/>
      <c r="EKP266" s="651"/>
      <c r="EKQ266" s="691"/>
      <c r="EKR266" s="651"/>
      <c r="EKS266" s="691"/>
      <c r="EKT266" s="651"/>
      <c r="EKU266" s="691"/>
      <c r="EKV266" s="651"/>
      <c r="EKW266" s="691"/>
      <c r="EKX266" s="651"/>
      <c r="EKY266" s="691"/>
      <c r="EKZ266" s="651"/>
      <c r="ELA266" s="691"/>
      <c r="ELB266" s="651"/>
      <c r="ELC266" s="691"/>
      <c r="ELD266" s="651"/>
      <c r="ELE266" s="691"/>
      <c r="ELF266" s="651"/>
      <c r="ELG266" s="691"/>
      <c r="ELH266" s="651"/>
      <c r="ELI266" s="691"/>
      <c r="ELJ266" s="651"/>
      <c r="ELK266" s="691"/>
      <c r="ELL266" s="651"/>
      <c r="ELM266" s="691"/>
      <c r="ELN266" s="651"/>
      <c r="ELO266" s="691"/>
      <c r="ELP266" s="651"/>
      <c r="ELQ266" s="691"/>
      <c r="ELR266" s="651"/>
      <c r="ELS266" s="691"/>
      <c r="ELT266" s="651"/>
      <c r="ELU266" s="691"/>
      <c r="ELV266" s="651"/>
      <c r="ELW266" s="691"/>
      <c r="ELX266" s="651"/>
      <c r="ELY266" s="691"/>
      <c r="ELZ266" s="651"/>
      <c r="EMA266" s="691"/>
      <c r="EMB266" s="651"/>
      <c r="EMC266" s="691"/>
      <c r="EMD266" s="651"/>
      <c r="EME266" s="691"/>
      <c r="EMF266" s="651"/>
      <c r="EMG266" s="691"/>
      <c r="EMH266" s="651"/>
      <c r="EMI266" s="691"/>
      <c r="EMJ266" s="651"/>
      <c r="EMK266" s="691"/>
      <c r="EML266" s="651"/>
      <c r="EMM266" s="691"/>
      <c r="EMN266" s="651"/>
      <c r="EMO266" s="691"/>
      <c r="EMP266" s="651"/>
      <c r="EMQ266" s="691"/>
      <c r="EMR266" s="651"/>
      <c r="EMS266" s="691"/>
      <c r="EMT266" s="651"/>
      <c r="EMU266" s="691"/>
      <c r="EMV266" s="651"/>
      <c r="EMW266" s="691"/>
      <c r="EMX266" s="651"/>
      <c r="EMY266" s="691"/>
      <c r="EMZ266" s="651"/>
      <c r="ENA266" s="691"/>
      <c r="ENB266" s="651"/>
      <c r="ENC266" s="691"/>
      <c r="END266" s="651"/>
      <c r="ENE266" s="691"/>
      <c r="ENF266" s="651"/>
      <c r="ENG266" s="691"/>
      <c r="ENH266" s="651"/>
      <c r="ENI266" s="691"/>
      <c r="ENJ266" s="651"/>
      <c r="ENK266" s="691"/>
      <c r="ENL266" s="651"/>
      <c r="ENM266" s="691"/>
      <c r="ENN266" s="651"/>
      <c r="ENO266" s="691"/>
      <c r="ENP266" s="651"/>
      <c r="ENQ266" s="691"/>
      <c r="ENR266" s="651"/>
      <c r="ENS266" s="691"/>
      <c r="ENT266" s="651"/>
      <c r="ENU266" s="691"/>
      <c r="ENV266" s="651"/>
      <c r="ENW266" s="691"/>
      <c r="ENX266" s="651"/>
      <c r="ENY266" s="691"/>
      <c r="ENZ266" s="651"/>
      <c r="EOA266" s="691"/>
      <c r="EOB266" s="651"/>
      <c r="EOC266" s="691"/>
      <c r="EOD266" s="651"/>
      <c r="EOE266" s="691"/>
      <c r="EOF266" s="651"/>
      <c r="EOG266" s="691"/>
      <c r="EOH266" s="651"/>
      <c r="EOI266" s="691"/>
      <c r="EOJ266" s="651"/>
      <c r="EOK266" s="691"/>
      <c r="EOL266" s="651"/>
      <c r="EOM266" s="691"/>
      <c r="EON266" s="651"/>
      <c r="EOO266" s="691"/>
      <c r="EOP266" s="651"/>
      <c r="EOQ266" s="691"/>
      <c r="EOR266" s="651"/>
      <c r="EOS266" s="691"/>
      <c r="EOT266" s="651"/>
      <c r="EOU266" s="691"/>
      <c r="EOV266" s="651"/>
      <c r="EOW266" s="691"/>
      <c r="EOX266" s="651"/>
      <c r="EOY266" s="691"/>
      <c r="EOZ266" s="651"/>
      <c r="EPA266" s="691"/>
      <c r="EPB266" s="651"/>
      <c r="EPC266" s="691"/>
      <c r="EPD266" s="651"/>
      <c r="EPE266" s="691"/>
      <c r="EPF266" s="651"/>
      <c r="EPG266" s="691"/>
      <c r="EPH266" s="651"/>
      <c r="EPI266" s="691"/>
      <c r="EPJ266" s="651"/>
      <c r="EPK266" s="691"/>
      <c r="EPL266" s="651"/>
      <c r="EPM266" s="691"/>
      <c r="EPN266" s="651"/>
      <c r="EPO266" s="691"/>
      <c r="EPP266" s="651"/>
      <c r="EPQ266" s="691"/>
      <c r="EPR266" s="651"/>
      <c r="EPS266" s="691"/>
      <c r="EPT266" s="651"/>
      <c r="EPU266" s="691"/>
      <c r="EPV266" s="651"/>
      <c r="EPW266" s="691"/>
      <c r="EPX266" s="651"/>
      <c r="EPY266" s="691"/>
      <c r="EPZ266" s="651"/>
      <c r="EQA266" s="691"/>
      <c r="EQB266" s="651"/>
      <c r="EQC266" s="691"/>
      <c r="EQD266" s="651"/>
      <c r="EQE266" s="691"/>
      <c r="EQF266" s="651"/>
      <c r="EQG266" s="691"/>
      <c r="EQH266" s="651"/>
      <c r="EQI266" s="691"/>
      <c r="EQJ266" s="651"/>
      <c r="EQK266" s="691"/>
      <c r="EQL266" s="651"/>
      <c r="EQM266" s="691"/>
      <c r="EQN266" s="651"/>
      <c r="EQO266" s="691"/>
      <c r="EQP266" s="651"/>
      <c r="EQQ266" s="691"/>
      <c r="EQR266" s="651"/>
      <c r="EQS266" s="691"/>
      <c r="EQT266" s="651"/>
      <c r="EQU266" s="691"/>
      <c r="EQV266" s="651"/>
      <c r="EQW266" s="691"/>
      <c r="EQX266" s="651"/>
      <c r="EQY266" s="691"/>
      <c r="EQZ266" s="651"/>
      <c r="ERA266" s="691"/>
      <c r="ERB266" s="651"/>
      <c r="ERC266" s="691"/>
      <c r="ERD266" s="651"/>
      <c r="ERE266" s="691"/>
      <c r="ERF266" s="651"/>
      <c r="ERG266" s="691"/>
      <c r="ERH266" s="651"/>
      <c r="ERI266" s="691"/>
      <c r="ERJ266" s="651"/>
      <c r="ERK266" s="691"/>
      <c r="ERL266" s="651"/>
      <c r="ERM266" s="691"/>
      <c r="ERN266" s="651"/>
      <c r="ERO266" s="691"/>
      <c r="ERP266" s="651"/>
      <c r="ERQ266" s="691"/>
      <c r="ERR266" s="651"/>
      <c r="ERS266" s="691"/>
      <c r="ERT266" s="651"/>
      <c r="ERU266" s="691"/>
      <c r="ERV266" s="651"/>
      <c r="ERW266" s="691"/>
      <c r="ERX266" s="651"/>
      <c r="ERY266" s="691"/>
      <c r="ERZ266" s="651"/>
      <c r="ESA266" s="691"/>
      <c r="ESB266" s="651"/>
      <c r="ESC266" s="691"/>
      <c r="ESD266" s="651"/>
      <c r="ESE266" s="691"/>
      <c r="ESF266" s="651"/>
      <c r="ESG266" s="691"/>
      <c r="ESH266" s="651"/>
      <c r="ESI266" s="691"/>
      <c r="ESJ266" s="651"/>
      <c r="ESK266" s="691"/>
      <c r="ESL266" s="651"/>
      <c r="ESM266" s="691"/>
      <c r="ESN266" s="651"/>
      <c r="ESO266" s="691"/>
      <c r="ESP266" s="651"/>
      <c r="ESQ266" s="691"/>
      <c r="ESR266" s="651"/>
      <c r="ESS266" s="691"/>
      <c r="EST266" s="651"/>
      <c r="ESU266" s="691"/>
      <c r="ESV266" s="651"/>
      <c r="ESW266" s="691"/>
      <c r="ESX266" s="651"/>
      <c r="ESY266" s="691"/>
      <c r="ESZ266" s="651"/>
      <c r="ETA266" s="691"/>
      <c r="ETB266" s="651"/>
      <c r="ETC266" s="691"/>
      <c r="ETD266" s="651"/>
      <c r="ETE266" s="691"/>
      <c r="ETF266" s="651"/>
      <c r="ETG266" s="691"/>
      <c r="ETH266" s="651"/>
      <c r="ETI266" s="691"/>
      <c r="ETJ266" s="651"/>
      <c r="ETK266" s="691"/>
      <c r="ETL266" s="651"/>
      <c r="ETM266" s="691"/>
      <c r="ETN266" s="651"/>
      <c r="ETO266" s="691"/>
      <c r="ETP266" s="651"/>
      <c r="ETQ266" s="691"/>
      <c r="ETR266" s="651"/>
      <c r="ETS266" s="691"/>
      <c r="ETT266" s="651"/>
      <c r="ETU266" s="691"/>
      <c r="ETV266" s="651"/>
      <c r="ETW266" s="691"/>
      <c r="ETX266" s="651"/>
      <c r="ETY266" s="691"/>
      <c r="ETZ266" s="651"/>
      <c r="EUA266" s="691"/>
      <c r="EUB266" s="651"/>
      <c r="EUC266" s="691"/>
      <c r="EUD266" s="651"/>
      <c r="EUE266" s="691"/>
      <c r="EUF266" s="651"/>
      <c r="EUG266" s="691"/>
      <c r="EUH266" s="651"/>
      <c r="EUI266" s="691"/>
      <c r="EUJ266" s="651"/>
      <c r="EUK266" s="691"/>
      <c r="EUL266" s="651"/>
      <c r="EUM266" s="691"/>
      <c r="EUN266" s="651"/>
      <c r="EUO266" s="691"/>
      <c r="EUP266" s="651"/>
      <c r="EUQ266" s="691"/>
      <c r="EUR266" s="651"/>
      <c r="EUS266" s="691"/>
      <c r="EUT266" s="651"/>
      <c r="EUU266" s="691"/>
      <c r="EUV266" s="651"/>
      <c r="EUW266" s="691"/>
      <c r="EUX266" s="651"/>
      <c r="EUY266" s="691"/>
      <c r="EUZ266" s="651"/>
      <c r="EVA266" s="691"/>
      <c r="EVB266" s="651"/>
      <c r="EVC266" s="691"/>
      <c r="EVD266" s="651"/>
      <c r="EVE266" s="691"/>
      <c r="EVF266" s="651"/>
      <c r="EVG266" s="691"/>
      <c r="EVH266" s="651"/>
      <c r="EVI266" s="691"/>
      <c r="EVJ266" s="651"/>
      <c r="EVK266" s="691"/>
      <c r="EVL266" s="651"/>
      <c r="EVM266" s="691"/>
      <c r="EVN266" s="651"/>
      <c r="EVO266" s="691"/>
      <c r="EVP266" s="651"/>
      <c r="EVQ266" s="691"/>
      <c r="EVR266" s="651"/>
      <c r="EVS266" s="691"/>
      <c r="EVT266" s="651"/>
      <c r="EVU266" s="691"/>
      <c r="EVV266" s="651"/>
      <c r="EVW266" s="691"/>
      <c r="EVX266" s="651"/>
      <c r="EVY266" s="691"/>
      <c r="EVZ266" s="651"/>
      <c r="EWA266" s="691"/>
      <c r="EWB266" s="651"/>
      <c r="EWC266" s="691"/>
      <c r="EWD266" s="651"/>
      <c r="EWE266" s="691"/>
      <c r="EWF266" s="651"/>
      <c r="EWG266" s="691"/>
      <c r="EWH266" s="651"/>
      <c r="EWI266" s="691"/>
      <c r="EWJ266" s="651"/>
      <c r="EWK266" s="691"/>
      <c r="EWL266" s="651"/>
      <c r="EWM266" s="691"/>
      <c r="EWN266" s="651"/>
      <c r="EWO266" s="691"/>
      <c r="EWP266" s="651"/>
      <c r="EWQ266" s="691"/>
      <c r="EWR266" s="651"/>
      <c r="EWS266" s="691"/>
      <c r="EWT266" s="651"/>
      <c r="EWU266" s="691"/>
      <c r="EWV266" s="651"/>
      <c r="EWW266" s="691"/>
      <c r="EWX266" s="651"/>
      <c r="EWY266" s="691"/>
      <c r="EWZ266" s="651"/>
      <c r="EXA266" s="691"/>
      <c r="EXB266" s="651"/>
      <c r="EXC266" s="691"/>
      <c r="EXD266" s="651"/>
      <c r="EXE266" s="691"/>
      <c r="EXF266" s="651"/>
      <c r="EXG266" s="691"/>
      <c r="EXH266" s="651"/>
      <c r="EXI266" s="691"/>
      <c r="EXJ266" s="651"/>
      <c r="EXK266" s="691"/>
      <c r="EXL266" s="651"/>
      <c r="EXM266" s="691"/>
      <c r="EXN266" s="651"/>
      <c r="EXO266" s="691"/>
      <c r="EXP266" s="651"/>
      <c r="EXQ266" s="691"/>
      <c r="EXR266" s="651"/>
      <c r="EXS266" s="691"/>
      <c r="EXT266" s="651"/>
      <c r="EXU266" s="691"/>
      <c r="EXV266" s="651"/>
      <c r="EXW266" s="691"/>
      <c r="EXX266" s="651"/>
      <c r="EXY266" s="691"/>
      <c r="EXZ266" s="651"/>
      <c r="EYA266" s="691"/>
      <c r="EYB266" s="651"/>
      <c r="EYC266" s="691"/>
      <c r="EYD266" s="651"/>
      <c r="EYE266" s="691"/>
      <c r="EYF266" s="651"/>
      <c r="EYG266" s="691"/>
      <c r="EYH266" s="651"/>
      <c r="EYI266" s="691"/>
      <c r="EYJ266" s="651"/>
      <c r="EYK266" s="691"/>
      <c r="EYL266" s="651"/>
      <c r="EYM266" s="691"/>
      <c r="EYN266" s="651"/>
      <c r="EYO266" s="691"/>
      <c r="EYP266" s="651"/>
      <c r="EYQ266" s="691"/>
      <c r="EYR266" s="651"/>
      <c r="EYS266" s="691"/>
      <c r="EYT266" s="651"/>
      <c r="EYU266" s="691"/>
      <c r="EYV266" s="651"/>
      <c r="EYW266" s="691"/>
      <c r="EYX266" s="651"/>
      <c r="EYY266" s="691"/>
      <c r="EYZ266" s="651"/>
      <c r="EZA266" s="691"/>
      <c r="EZB266" s="651"/>
      <c r="EZC266" s="691"/>
      <c r="EZD266" s="651"/>
      <c r="EZE266" s="691"/>
      <c r="EZF266" s="651"/>
      <c r="EZG266" s="691"/>
      <c r="EZH266" s="651"/>
      <c r="EZI266" s="691"/>
      <c r="EZJ266" s="651"/>
      <c r="EZK266" s="691"/>
      <c r="EZL266" s="651"/>
      <c r="EZM266" s="691"/>
      <c r="EZN266" s="651"/>
      <c r="EZO266" s="691"/>
      <c r="EZP266" s="651"/>
      <c r="EZQ266" s="691"/>
      <c r="EZR266" s="651"/>
      <c r="EZS266" s="691"/>
      <c r="EZT266" s="651"/>
      <c r="EZU266" s="691"/>
      <c r="EZV266" s="651"/>
      <c r="EZW266" s="691"/>
      <c r="EZX266" s="651"/>
      <c r="EZY266" s="691"/>
      <c r="EZZ266" s="651"/>
      <c r="FAA266" s="691"/>
      <c r="FAB266" s="651"/>
      <c r="FAC266" s="691"/>
      <c r="FAD266" s="651"/>
      <c r="FAE266" s="691"/>
      <c r="FAF266" s="651"/>
      <c r="FAG266" s="691"/>
      <c r="FAH266" s="651"/>
      <c r="FAI266" s="691"/>
      <c r="FAJ266" s="651"/>
      <c r="FAK266" s="691"/>
      <c r="FAL266" s="651"/>
      <c r="FAM266" s="691"/>
      <c r="FAN266" s="651"/>
      <c r="FAO266" s="691"/>
      <c r="FAP266" s="651"/>
      <c r="FAQ266" s="691"/>
      <c r="FAR266" s="651"/>
      <c r="FAS266" s="691"/>
      <c r="FAT266" s="651"/>
      <c r="FAU266" s="691"/>
      <c r="FAV266" s="651"/>
      <c r="FAW266" s="691"/>
      <c r="FAX266" s="651"/>
      <c r="FAY266" s="691"/>
      <c r="FAZ266" s="651"/>
      <c r="FBA266" s="691"/>
      <c r="FBB266" s="651"/>
      <c r="FBC266" s="691"/>
      <c r="FBD266" s="651"/>
      <c r="FBE266" s="691"/>
      <c r="FBF266" s="651"/>
      <c r="FBG266" s="691"/>
      <c r="FBH266" s="651"/>
      <c r="FBI266" s="691"/>
      <c r="FBJ266" s="651"/>
      <c r="FBK266" s="691"/>
      <c r="FBL266" s="651"/>
      <c r="FBM266" s="691"/>
      <c r="FBN266" s="651"/>
      <c r="FBO266" s="691"/>
      <c r="FBP266" s="651"/>
      <c r="FBQ266" s="691"/>
      <c r="FBR266" s="651"/>
      <c r="FBS266" s="691"/>
      <c r="FBT266" s="651"/>
      <c r="FBU266" s="691"/>
      <c r="FBV266" s="651"/>
      <c r="FBW266" s="691"/>
      <c r="FBX266" s="651"/>
      <c r="FBY266" s="691"/>
      <c r="FBZ266" s="651"/>
      <c r="FCA266" s="691"/>
      <c r="FCB266" s="651"/>
      <c r="FCC266" s="691"/>
      <c r="FCD266" s="651"/>
      <c r="FCE266" s="691"/>
      <c r="FCF266" s="651"/>
      <c r="FCG266" s="691"/>
      <c r="FCH266" s="651"/>
      <c r="FCI266" s="691"/>
      <c r="FCJ266" s="651"/>
      <c r="FCK266" s="691"/>
      <c r="FCL266" s="651"/>
      <c r="FCM266" s="691"/>
      <c r="FCN266" s="651"/>
      <c r="FCO266" s="691"/>
      <c r="FCP266" s="651"/>
      <c r="FCQ266" s="691"/>
      <c r="FCR266" s="651"/>
      <c r="FCS266" s="691"/>
      <c r="FCT266" s="651"/>
      <c r="FCU266" s="691"/>
      <c r="FCV266" s="651"/>
      <c r="FCW266" s="691"/>
      <c r="FCX266" s="651"/>
      <c r="FCY266" s="691"/>
      <c r="FCZ266" s="651"/>
      <c r="FDA266" s="691"/>
      <c r="FDB266" s="651"/>
      <c r="FDC266" s="691"/>
      <c r="FDD266" s="651"/>
      <c r="FDE266" s="691"/>
      <c r="FDF266" s="651"/>
      <c r="FDG266" s="691"/>
      <c r="FDH266" s="651"/>
      <c r="FDI266" s="691"/>
      <c r="FDJ266" s="651"/>
      <c r="FDK266" s="691"/>
      <c r="FDL266" s="651"/>
      <c r="FDM266" s="691"/>
      <c r="FDN266" s="651"/>
      <c r="FDO266" s="691"/>
      <c r="FDP266" s="651"/>
      <c r="FDQ266" s="691"/>
      <c r="FDR266" s="651"/>
      <c r="FDS266" s="691"/>
      <c r="FDT266" s="651"/>
      <c r="FDU266" s="691"/>
      <c r="FDV266" s="651"/>
      <c r="FDW266" s="691"/>
      <c r="FDX266" s="651"/>
      <c r="FDY266" s="691"/>
      <c r="FDZ266" s="651"/>
      <c r="FEA266" s="691"/>
      <c r="FEB266" s="651"/>
      <c r="FEC266" s="691"/>
      <c r="FED266" s="651"/>
      <c r="FEE266" s="691"/>
      <c r="FEF266" s="651"/>
      <c r="FEG266" s="691"/>
      <c r="FEH266" s="651"/>
      <c r="FEI266" s="691"/>
      <c r="FEJ266" s="651"/>
      <c r="FEK266" s="691"/>
      <c r="FEL266" s="651"/>
      <c r="FEM266" s="691"/>
      <c r="FEN266" s="651"/>
      <c r="FEO266" s="691"/>
      <c r="FEP266" s="651"/>
      <c r="FEQ266" s="691"/>
      <c r="FER266" s="651"/>
      <c r="FES266" s="691"/>
      <c r="FET266" s="651"/>
      <c r="FEU266" s="691"/>
      <c r="FEV266" s="651"/>
      <c r="FEW266" s="691"/>
      <c r="FEX266" s="651"/>
      <c r="FEY266" s="691"/>
      <c r="FEZ266" s="651"/>
      <c r="FFA266" s="691"/>
      <c r="FFB266" s="651"/>
      <c r="FFC266" s="691"/>
      <c r="FFD266" s="651"/>
      <c r="FFE266" s="691"/>
      <c r="FFF266" s="651"/>
      <c r="FFG266" s="691"/>
      <c r="FFH266" s="651"/>
      <c r="FFI266" s="691"/>
      <c r="FFJ266" s="651"/>
      <c r="FFK266" s="691"/>
      <c r="FFL266" s="651"/>
      <c r="FFM266" s="691"/>
      <c r="FFN266" s="651"/>
      <c r="FFO266" s="691"/>
      <c r="FFP266" s="651"/>
      <c r="FFQ266" s="691"/>
      <c r="FFR266" s="651"/>
      <c r="FFS266" s="691"/>
      <c r="FFT266" s="651"/>
      <c r="FFU266" s="691"/>
      <c r="FFV266" s="651"/>
      <c r="FFW266" s="691"/>
      <c r="FFX266" s="651"/>
      <c r="FFY266" s="691"/>
      <c r="FFZ266" s="651"/>
      <c r="FGA266" s="691"/>
      <c r="FGB266" s="651"/>
      <c r="FGC266" s="691"/>
      <c r="FGD266" s="651"/>
      <c r="FGE266" s="691"/>
      <c r="FGF266" s="651"/>
      <c r="FGG266" s="691"/>
      <c r="FGH266" s="651"/>
      <c r="FGI266" s="691"/>
      <c r="FGJ266" s="651"/>
      <c r="FGK266" s="691"/>
      <c r="FGL266" s="651"/>
      <c r="FGM266" s="691"/>
      <c r="FGN266" s="651"/>
      <c r="FGO266" s="691"/>
      <c r="FGP266" s="651"/>
      <c r="FGQ266" s="691"/>
      <c r="FGR266" s="651"/>
      <c r="FGS266" s="691"/>
      <c r="FGT266" s="651"/>
      <c r="FGU266" s="691"/>
      <c r="FGV266" s="651"/>
      <c r="FGW266" s="691"/>
      <c r="FGX266" s="651"/>
      <c r="FGY266" s="691"/>
      <c r="FGZ266" s="651"/>
      <c r="FHA266" s="691"/>
      <c r="FHB266" s="651"/>
      <c r="FHC266" s="691"/>
      <c r="FHD266" s="651"/>
      <c r="FHE266" s="691"/>
      <c r="FHF266" s="651"/>
      <c r="FHG266" s="691"/>
      <c r="FHH266" s="651"/>
      <c r="FHI266" s="691"/>
      <c r="FHJ266" s="651"/>
      <c r="FHK266" s="691"/>
      <c r="FHL266" s="651"/>
      <c r="FHM266" s="691"/>
      <c r="FHN266" s="651"/>
      <c r="FHO266" s="691"/>
      <c r="FHP266" s="651"/>
      <c r="FHQ266" s="691"/>
      <c r="FHR266" s="651"/>
      <c r="FHS266" s="691"/>
      <c r="FHT266" s="651"/>
      <c r="FHU266" s="691"/>
      <c r="FHV266" s="651"/>
      <c r="FHW266" s="691"/>
      <c r="FHX266" s="651"/>
      <c r="FHY266" s="691"/>
      <c r="FHZ266" s="651"/>
      <c r="FIA266" s="691"/>
      <c r="FIB266" s="651"/>
      <c r="FIC266" s="691"/>
      <c r="FID266" s="651"/>
      <c r="FIE266" s="691"/>
      <c r="FIF266" s="651"/>
      <c r="FIG266" s="691"/>
      <c r="FIH266" s="651"/>
      <c r="FII266" s="691"/>
      <c r="FIJ266" s="651"/>
      <c r="FIK266" s="691"/>
      <c r="FIL266" s="651"/>
      <c r="FIM266" s="691"/>
      <c r="FIN266" s="651"/>
      <c r="FIO266" s="691"/>
      <c r="FIP266" s="651"/>
      <c r="FIQ266" s="691"/>
      <c r="FIR266" s="651"/>
      <c r="FIS266" s="691"/>
      <c r="FIT266" s="651"/>
      <c r="FIU266" s="691"/>
      <c r="FIV266" s="651"/>
      <c r="FIW266" s="691"/>
      <c r="FIX266" s="651"/>
      <c r="FIY266" s="691"/>
      <c r="FIZ266" s="651"/>
      <c r="FJA266" s="691"/>
      <c r="FJB266" s="651"/>
      <c r="FJC266" s="691"/>
      <c r="FJD266" s="651"/>
      <c r="FJE266" s="691"/>
      <c r="FJF266" s="651"/>
      <c r="FJG266" s="691"/>
      <c r="FJH266" s="651"/>
      <c r="FJI266" s="691"/>
      <c r="FJJ266" s="651"/>
      <c r="FJK266" s="691"/>
      <c r="FJL266" s="651"/>
      <c r="FJM266" s="691"/>
      <c r="FJN266" s="651"/>
      <c r="FJO266" s="691"/>
      <c r="FJP266" s="651"/>
      <c r="FJQ266" s="691"/>
      <c r="FJR266" s="651"/>
      <c r="FJS266" s="691"/>
      <c r="FJT266" s="651"/>
      <c r="FJU266" s="691"/>
      <c r="FJV266" s="651"/>
      <c r="FJW266" s="691"/>
      <c r="FJX266" s="651"/>
      <c r="FJY266" s="691"/>
      <c r="FJZ266" s="651"/>
      <c r="FKA266" s="691"/>
      <c r="FKB266" s="651"/>
      <c r="FKC266" s="691"/>
      <c r="FKD266" s="651"/>
      <c r="FKE266" s="691"/>
      <c r="FKF266" s="651"/>
      <c r="FKG266" s="691"/>
      <c r="FKH266" s="651"/>
      <c r="FKI266" s="691"/>
      <c r="FKJ266" s="651"/>
      <c r="FKK266" s="691"/>
      <c r="FKL266" s="651"/>
      <c r="FKM266" s="691"/>
      <c r="FKN266" s="651"/>
      <c r="FKO266" s="691"/>
      <c r="FKP266" s="651"/>
      <c r="FKQ266" s="691"/>
      <c r="FKR266" s="651"/>
      <c r="FKS266" s="691"/>
      <c r="FKT266" s="651"/>
      <c r="FKU266" s="691"/>
      <c r="FKV266" s="651"/>
      <c r="FKW266" s="691"/>
      <c r="FKX266" s="651"/>
      <c r="FKY266" s="691"/>
      <c r="FKZ266" s="651"/>
      <c r="FLA266" s="691"/>
      <c r="FLB266" s="651"/>
      <c r="FLC266" s="691"/>
      <c r="FLD266" s="651"/>
      <c r="FLE266" s="691"/>
      <c r="FLF266" s="651"/>
      <c r="FLG266" s="691"/>
      <c r="FLH266" s="651"/>
      <c r="FLI266" s="691"/>
      <c r="FLJ266" s="651"/>
      <c r="FLK266" s="691"/>
      <c r="FLL266" s="651"/>
      <c r="FLM266" s="691"/>
      <c r="FLN266" s="651"/>
      <c r="FLO266" s="691"/>
      <c r="FLP266" s="651"/>
      <c r="FLQ266" s="691"/>
      <c r="FLR266" s="651"/>
      <c r="FLS266" s="691"/>
      <c r="FLT266" s="651"/>
      <c r="FLU266" s="691"/>
      <c r="FLV266" s="651"/>
      <c r="FLW266" s="691"/>
      <c r="FLX266" s="651"/>
      <c r="FLY266" s="691"/>
      <c r="FLZ266" s="651"/>
      <c r="FMA266" s="691"/>
      <c r="FMB266" s="651"/>
      <c r="FMC266" s="691"/>
      <c r="FMD266" s="651"/>
      <c r="FME266" s="691"/>
      <c r="FMF266" s="651"/>
      <c r="FMG266" s="691"/>
      <c r="FMH266" s="651"/>
      <c r="FMI266" s="691"/>
      <c r="FMJ266" s="651"/>
      <c r="FMK266" s="691"/>
      <c r="FML266" s="651"/>
      <c r="FMM266" s="691"/>
      <c r="FMN266" s="651"/>
      <c r="FMO266" s="691"/>
      <c r="FMP266" s="651"/>
      <c r="FMQ266" s="691"/>
      <c r="FMR266" s="651"/>
      <c r="FMS266" s="691"/>
      <c r="FMT266" s="651"/>
      <c r="FMU266" s="691"/>
      <c r="FMV266" s="651"/>
      <c r="FMW266" s="691"/>
      <c r="FMX266" s="651"/>
      <c r="FMY266" s="691"/>
      <c r="FMZ266" s="651"/>
      <c r="FNA266" s="691"/>
      <c r="FNB266" s="651"/>
      <c r="FNC266" s="691"/>
      <c r="FND266" s="651"/>
      <c r="FNE266" s="691"/>
      <c r="FNF266" s="651"/>
      <c r="FNG266" s="691"/>
      <c r="FNH266" s="651"/>
      <c r="FNI266" s="691"/>
      <c r="FNJ266" s="651"/>
      <c r="FNK266" s="691"/>
      <c r="FNL266" s="651"/>
      <c r="FNM266" s="691"/>
      <c r="FNN266" s="651"/>
      <c r="FNO266" s="691"/>
      <c r="FNP266" s="651"/>
      <c r="FNQ266" s="691"/>
      <c r="FNR266" s="651"/>
      <c r="FNS266" s="691"/>
      <c r="FNT266" s="651"/>
      <c r="FNU266" s="691"/>
      <c r="FNV266" s="651"/>
      <c r="FNW266" s="691"/>
      <c r="FNX266" s="651"/>
      <c r="FNY266" s="691"/>
      <c r="FNZ266" s="651"/>
      <c r="FOA266" s="691"/>
      <c r="FOB266" s="651"/>
      <c r="FOC266" s="691"/>
      <c r="FOD266" s="651"/>
      <c r="FOE266" s="691"/>
      <c r="FOF266" s="651"/>
      <c r="FOG266" s="691"/>
      <c r="FOH266" s="651"/>
      <c r="FOI266" s="691"/>
      <c r="FOJ266" s="651"/>
      <c r="FOK266" s="691"/>
      <c r="FOL266" s="651"/>
      <c r="FOM266" s="691"/>
      <c r="FON266" s="651"/>
      <c r="FOO266" s="691"/>
      <c r="FOP266" s="651"/>
      <c r="FOQ266" s="691"/>
      <c r="FOR266" s="651"/>
      <c r="FOS266" s="691"/>
      <c r="FOT266" s="651"/>
      <c r="FOU266" s="691"/>
      <c r="FOV266" s="651"/>
      <c r="FOW266" s="691"/>
      <c r="FOX266" s="651"/>
      <c r="FOY266" s="691"/>
      <c r="FOZ266" s="651"/>
      <c r="FPA266" s="691"/>
      <c r="FPB266" s="651"/>
      <c r="FPC266" s="691"/>
      <c r="FPD266" s="651"/>
      <c r="FPE266" s="691"/>
      <c r="FPF266" s="651"/>
      <c r="FPG266" s="691"/>
      <c r="FPH266" s="651"/>
      <c r="FPI266" s="691"/>
      <c r="FPJ266" s="651"/>
      <c r="FPK266" s="691"/>
      <c r="FPL266" s="651"/>
      <c r="FPM266" s="691"/>
      <c r="FPN266" s="651"/>
      <c r="FPO266" s="691"/>
      <c r="FPP266" s="651"/>
      <c r="FPQ266" s="691"/>
      <c r="FPR266" s="651"/>
      <c r="FPS266" s="691"/>
      <c r="FPT266" s="651"/>
      <c r="FPU266" s="691"/>
      <c r="FPV266" s="651"/>
      <c r="FPW266" s="691"/>
      <c r="FPX266" s="651"/>
      <c r="FPY266" s="691"/>
      <c r="FPZ266" s="651"/>
      <c r="FQA266" s="691"/>
      <c r="FQB266" s="651"/>
      <c r="FQC266" s="691"/>
      <c r="FQD266" s="651"/>
      <c r="FQE266" s="691"/>
      <c r="FQF266" s="651"/>
      <c r="FQG266" s="691"/>
      <c r="FQH266" s="651"/>
      <c r="FQI266" s="691"/>
      <c r="FQJ266" s="651"/>
      <c r="FQK266" s="691"/>
      <c r="FQL266" s="651"/>
      <c r="FQM266" s="691"/>
      <c r="FQN266" s="651"/>
      <c r="FQO266" s="691"/>
      <c r="FQP266" s="651"/>
      <c r="FQQ266" s="691"/>
      <c r="FQR266" s="651"/>
      <c r="FQS266" s="691"/>
      <c r="FQT266" s="651"/>
      <c r="FQU266" s="691"/>
      <c r="FQV266" s="651"/>
      <c r="FQW266" s="691"/>
      <c r="FQX266" s="651"/>
      <c r="FQY266" s="691"/>
      <c r="FQZ266" s="651"/>
      <c r="FRA266" s="691"/>
      <c r="FRB266" s="651"/>
      <c r="FRC266" s="691"/>
      <c r="FRD266" s="651"/>
      <c r="FRE266" s="691"/>
      <c r="FRF266" s="651"/>
      <c r="FRG266" s="691"/>
      <c r="FRH266" s="651"/>
      <c r="FRI266" s="691"/>
      <c r="FRJ266" s="651"/>
      <c r="FRK266" s="691"/>
      <c r="FRL266" s="651"/>
      <c r="FRM266" s="691"/>
      <c r="FRN266" s="651"/>
      <c r="FRO266" s="691"/>
      <c r="FRP266" s="651"/>
      <c r="FRQ266" s="691"/>
      <c r="FRR266" s="651"/>
      <c r="FRS266" s="691"/>
      <c r="FRT266" s="651"/>
      <c r="FRU266" s="691"/>
      <c r="FRV266" s="651"/>
      <c r="FRW266" s="691"/>
      <c r="FRX266" s="651"/>
      <c r="FRY266" s="691"/>
      <c r="FRZ266" s="651"/>
      <c r="FSA266" s="691"/>
      <c r="FSB266" s="651"/>
      <c r="FSC266" s="691"/>
      <c r="FSD266" s="651"/>
      <c r="FSE266" s="691"/>
      <c r="FSF266" s="651"/>
      <c r="FSG266" s="691"/>
      <c r="FSH266" s="651"/>
      <c r="FSI266" s="691"/>
      <c r="FSJ266" s="651"/>
      <c r="FSK266" s="691"/>
      <c r="FSL266" s="651"/>
      <c r="FSM266" s="691"/>
      <c r="FSN266" s="651"/>
      <c r="FSO266" s="691"/>
      <c r="FSP266" s="651"/>
      <c r="FSQ266" s="691"/>
      <c r="FSR266" s="651"/>
      <c r="FSS266" s="691"/>
      <c r="FST266" s="651"/>
      <c r="FSU266" s="691"/>
      <c r="FSV266" s="651"/>
      <c r="FSW266" s="691"/>
      <c r="FSX266" s="651"/>
      <c r="FSY266" s="691"/>
      <c r="FSZ266" s="651"/>
      <c r="FTA266" s="691"/>
      <c r="FTB266" s="651"/>
      <c r="FTC266" s="691"/>
      <c r="FTD266" s="651"/>
      <c r="FTE266" s="691"/>
      <c r="FTF266" s="651"/>
      <c r="FTG266" s="691"/>
      <c r="FTH266" s="651"/>
      <c r="FTI266" s="691"/>
      <c r="FTJ266" s="651"/>
      <c r="FTK266" s="691"/>
      <c r="FTL266" s="651"/>
      <c r="FTM266" s="691"/>
      <c r="FTN266" s="651"/>
      <c r="FTO266" s="691"/>
      <c r="FTP266" s="651"/>
      <c r="FTQ266" s="691"/>
      <c r="FTR266" s="651"/>
      <c r="FTS266" s="691"/>
      <c r="FTT266" s="651"/>
      <c r="FTU266" s="691"/>
      <c r="FTV266" s="651"/>
      <c r="FTW266" s="691"/>
      <c r="FTX266" s="651"/>
      <c r="FTY266" s="691"/>
      <c r="FTZ266" s="651"/>
      <c r="FUA266" s="691"/>
      <c r="FUB266" s="651"/>
      <c r="FUC266" s="691"/>
      <c r="FUD266" s="651"/>
      <c r="FUE266" s="691"/>
      <c r="FUF266" s="651"/>
      <c r="FUG266" s="691"/>
      <c r="FUH266" s="651"/>
      <c r="FUI266" s="691"/>
      <c r="FUJ266" s="651"/>
      <c r="FUK266" s="691"/>
      <c r="FUL266" s="651"/>
      <c r="FUM266" s="691"/>
      <c r="FUN266" s="651"/>
      <c r="FUO266" s="691"/>
      <c r="FUP266" s="651"/>
      <c r="FUQ266" s="691"/>
      <c r="FUR266" s="651"/>
      <c r="FUS266" s="691"/>
      <c r="FUT266" s="651"/>
      <c r="FUU266" s="691"/>
      <c r="FUV266" s="651"/>
      <c r="FUW266" s="691"/>
      <c r="FUX266" s="651"/>
      <c r="FUY266" s="691"/>
      <c r="FUZ266" s="651"/>
      <c r="FVA266" s="691"/>
      <c r="FVB266" s="651"/>
      <c r="FVC266" s="691"/>
      <c r="FVD266" s="651"/>
      <c r="FVE266" s="691"/>
      <c r="FVF266" s="651"/>
      <c r="FVG266" s="691"/>
      <c r="FVH266" s="651"/>
      <c r="FVI266" s="691"/>
      <c r="FVJ266" s="651"/>
      <c r="FVK266" s="691"/>
      <c r="FVL266" s="651"/>
      <c r="FVM266" s="691"/>
      <c r="FVN266" s="651"/>
      <c r="FVO266" s="691"/>
      <c r="FVP266" s="651"/>
      <c r="FVQ266" s="691"/>
      <c r="FVR266" s="651"/>
      <c r="FVS266" s="691"/>
      <c r="FVT266" s="651"/>
      <c r="FVU266" s="691"/>
      <c r="FVV266" s="651"/>
      <c r="FVW266" s="691"/>
      <c r="FVX266" s="651"/>
      <c r="FVY266" s="691"/>
      <c r="FVZ266" s="651"/>
      <c r="FWA266" s="691"/>
      <c r="FWB266" s="651"/>
      <c r="FWC266" s="691"/>
      <c r="FWD266" s="651"/>
      <c r="FWE266" s="691"/>
      <c r="FWF266" s="651"/>
      <c r="FWG266" s="691"/>
      <c r="FWH266" s="651"/>
      <c r="FWI266" s="691"/>
      <c r="FWJ266" s="651"/>
      <c r="FWK266" s="691"/>
      <c r="FWL266" s="651"/>
      <c r="FWM266" s="691"/>
      <c r="FWN266" s="651"/>
      <c r="FWO266" s="691"/>
      <c r="FWP266" s="651"/>
      <c r="FWQ266" s="691"/>
      <c r="FWR266" s="651"/>
      <c r="FWS266" s="691"/>
      <c r="FWT266" s="651"/>
      <c r="FWU266" s="691"/>
      <c r="FWV266" s="651"/>
      <c r="FWW266" s="691"/>
      <c r="FWX266" s="651"/>
      <c r="FWY266" s="691"/>
      <c r="FWZ266" s="651"/>
      <c r="FXA266" s="691"/>
      <c r="FXB266" s="651"/>
      <c r="FXC266" s="691"/>
      <c r="FXD266" s="651"/>
      <c r="FXE266" s="691"/>
      <c r="FXF266" s="651"/>
      <c r="FXG266" s="691"/>
      <c r="FXH266" s="651"/>
      <c r="FXI266" s="691"/>
      <c r="FXJ266" s="651"/>
      <c r="FXK266" s="691"/>
      <c r="FXL266" s="651"/>
      <c r="FXM266" s="691"/>
      <c r="FXN266" s="651"/>
      <c r="FXO266" s="691"/>
      <c r="FXP266" s="651"/>
      <c r="FXQ266" s="691"/>
      <c r="FXR266" s="651"/>
      <c r="FXS266" s="691"/>
      <c r="FXT266" s="651"/>
      <c r="FXU266" s="691"/>
      <c r="FXV266" s="651"/>
      <c r="FXW266" s="691"/>
      <c r="FXX266" s="651"/>
      <c r="FXY266" s="691"/>
      <c r="FXZ266" s="651"/>
      <c r="FYA266" s="691"/>
      <c r="FYB266" s="651"/>
      <c r="FYC266" s="691"/>
      <c r="FYD266" s="651"/>
      <c r="FYE266" s="691"/>
      <c r="FYF266" s="651"/>
      <c r="FYG266" s="691"/>
      <c r="FYH266" s="651"/>
      <c r="FYI266" s="691"/>
      <c r="FYJ266" s="651"/>
      <c r="FYK266" s="691"/>
      <c r="FYL266" s="651"/>
      <c r="FYM266" s="691"/>
      <c r="FYN266" s="651"/>
      <c r="FYO266" s="691"/>
      <c r="FYP266" s="651"/>
      <c r="FYQ266" s="691"/>
      <c r="FYR266" s="651"/>
      <c r="FYS266" s="691"/>
      <c r="FYT266" s="651"/>
      <c r="FYU266" s="691"/>
      <c r="FYV266" s="651"/>
      <c r="FYW266" s="691"/>
      <c r="FYX266" s="651"/>
      <c r="FYY266" s="691"/>
      <c r="FYZ266" s="651"/>
      <c r="FZA266" s="691"/>
      <c r="FZB266" s="651"/>
      <c r="FZC266" s="691"/>
      <c r="FZD266" s="651"/>
      <c r="FZE266" s="691"/>
      <c r="FZF266" s="651"/>
      <c r="FZG266" s="691"/>
      <c r="FZH266" s="651"/>
      <c r="FZI266" s="691"/>
      <c r="FZJ266" s="651"/>
      <c r="FZK266" s="691"/>
      <c r="FZL266" s="651"/>
      <c r="FZM266" s="691"/>
      <c r="FZN266" s="651"/>
      <c r="FZO266" s="691"/>
      <c r="FZP266" s="651"/>
      <c r="FZQ266" s="691"/>
      <c r="FZR266" s="651"/>
      <c r="FZS266" s="691"/>
      <c r="FZT266" s="651"/>
      <c r="FZU266" s="691"/>
      <c r="FZV266" s="651"/>
      <c r="FZW266" s="691"/>
      <c r="FZX266" s="651"/>
      <c r="FZY266" s="691"/>
      <c r="FZZ266" s="651"/>
      <c r="GAA266" s="691"/>
      <c r="GAB266" s="651"/>
      <c r="GAC266" s="691"/>
      <c r="GAD266" s="651"/>
      <c r="GAE266" s="691"/>
      <c r="GAF266" s="651"/>
      <c r="GAG266" s="691"/>
      <c r="GAH266" s="651"/>
      <c r="GAI266" s="691"/>
      <c r="GAJ266" s="651"/>
      <c r="GAK266" s="691"/>
      <c r="GAL266" s="651"/>
      <c r="GAM266" s="691"/>
      <c r="GAN266" s="651"/>
      <c r="GAO266" s="691"/>
      <c r="GAP266" s="651"/>
      <c r="GAQ266" s="691"/>
      <c r="GAR266" s="651"/>
      <c r="GAS266" s="691"/>
      <c r="GAT266" s="651"/>
      <c r="GAU266" s="691"/>
      <c r="GAV266" s="651"/>
      <c r="GAW266" s="691"/>
      <c r="GAX266" s="651"/>
      <c r="GAY266" s="691"/>
      <c r="GAZ266" s="651"/>
      <c r="GBA266" s="691"/>
      <c r="GBB266" s="651"/>
      <c r="GBC266" s="691"/>
      <c r="GBD266" s="651"/>
      <c r="GBE266" s="691"/>
      <c r="GBF266" s="651"/>
      <c r="GBG266" s="691"/>
      <c r="GBH266" s="651"/>
      <c r="GBI266" s="691"/>
      <c r="GBJ266" s="651"/>
      <c r="GBK266" s="691"/>
      <c r="GBL266" s="651"/>
      <c r="GBM266" s="691"/>
      <c r="GBN266" s="651"/>
      <c r="GBO266" s="691"/>
      <c r="GBP266" s="651"/>
      <c r="GBQ266" s="691"/>
      <c r="GBR266" s="651"/>
      <c r="GBS266" s="691"/>
      <c r="GBT266" s="651"/>
      <c r="GBU266" s="691"/>
      <c r="GBV266" s="651"/>
      <c r="GBW266" s="691"/>
      <c r="GBX266" s="651"/>
      <c r="GBY266" s="691"/>
      <c r="GBZ266" s="651"/>
      <c r="GCA266" s="691"/>
      <c r="GCB266" s="651"/>
      <c r="GCC266" s="691"/>
      <c r="GCD266" s="651"/>
      <c r="GCE266" s="691"/>
      <c r="GCF266" s="651"/>
      <c r="GCG266" s="691"/>
      <c r="GCH266" s="651"/>
      <c r="GCI266" s="691"/>
      <c r="GCJ266" s="651"/>
      <c r="GCK266" s="691"/>
      <c r="GCL266" s="651"/>
      <c r="GCM266" s="691"/>
      <c r="GCN266" s="651"/>
      <c r="GCO266" s="691"/>
      <c r="GCP266" s="651"/>
      <c r="GCQ266" s="691"/>
      <c r="GCR266" s="651"/>
      <c r="GCS266" s="691"/>
      <c r="GCT266" s="651"/>
      <c r="GCU266" s="691"/>
      <c r="GCV266" s="651"/>
      <c r="GCW266" s="691"/>
      <c r="GCX266" s="651"/>
      <c r="GCY266" s="691"/>
      <c r="GCZ266" s="651"/>
      <c r="GDA266" s="691"/>
      <c r="GDB266" s="651"/>
      <c r="GDC266" s="691"/>
      <c r="GDD266" s="651"/>
      <c r="GDE266" s="691"/>
      <c r="GDF266" s="651"/>
      <c r="GDG266" s="691"/>
      <c r="GDH266" s="651"/>
      <c r="GDI266" s="691"/>
      <c r="GDJ266" s="651"/>
      <c r="GDK266" s="691"/>
      <c r="GDL266" s="651"/>
      <c r="GDM266" s="691"/>
      <c r="GDN266" s="651"/>
      <c r="GDO266" s="691"/>
      <c r="GDP266" s="651"/>
      <c r="GDQ266" s="691"/>
      <c r="GDR266" s="651"/>
      <c r="GDS266" s="691"/>
      <c r="GDT266" s="651"/>
      <c r="GDU266" s="691"/>
      <c r="GDV266" s="651"/>
      <c r="GDW266" s="691"/>
      <c r="GDX266" s="651"/>
      <c r="GDY266" s="691"/>
      <c r="GDZ266" s="651"/>
      <c r="GEA266" s="691"/>
      <c r="GEB266" s="651"/>
      <c r="GEC266" s="691"/>
      <c r="GED266" s="651"/>
      <c r="GEE266" s="691"/>
      <c r="GEF266" s="651"/>
      <c r="GEG266" s="691"/>
      <c r="GEH266" s="651"/>
      <c r="GEI266" s="691"/>
      <c r="GEJ266" s="651"/>
      <c r="GEK266" s="691"/>
      <c r="GEL266" s="651"/>
      <c r="GEM266" s="691"/>
      <c r="GEN266" s="651"/>
      <c r="GEO266" s="691"/>
      <c r="GEP266" s="651"/>
      <c r="GEQ266" s="691"/>
      <c r="GER266" s="651"/>
      <c r="GES266" s="691"/>
      <c r="GET266" s="651"/>
      <c r="GEU266" s="691"/>
      <c r="GEV266" s="651"/>
      <c r="GEW266" s="691"/>
      <c r="GEX266" s="651"/>
      <c r="GEY266" s="691"/>
      <c r="GEZ266" s="651"/>
      <c r="GFA266" s="691"/>
      <c r="GFB266" s="651"/>
      <c r="GFC266" s="691"/>
      <c r="GFD266" s="651"/>
      <c r="GFE266" s="691"/>
      <c r="GFF266" s="651"/>
      <c r="GFG266" s="691"/>
      <c r="GFH266" s="651"/>
      <c r="GFI266" s="691"/>
      <c r="GFJ266" s="651"/>
      <c r="GFK266" s="691"/>
      <c r="GFL266" s="651"/>
      <c r="GFM266" s="691"/>
      <c r="GFN266" s="651"/>
      <c r="GFO266" s="691"/>
      <c r="GFP266" s="651"/>
      <c r="GFQ266" s="691"/>
      <c r="GFR266" s="651"/>
      <c r="GFS266" s="691"/>
      <c r="GFT266" s="651"/>
      <c r="GFU266" s="691"/>
      <c r="GFV266" s="651"/>
      <c r="GFW266" s="691"/>
      <c r="GFX266" s="651"/>
      <c r="GFY266" s="691"/>
      <c r="GFZ266" s="651"/>
      <c r="GGA266" s="691"/>
      <c r="GGB266" s="651"/>
      <c r="GGC266" s="691"/>
      <c r="GGD266" s="651"/>
      <c r="GGE266" s="691"/>
      <c r="GGF266" s="651"/>
      <c r="GGG266" s="691"/>
      <c r="GGH266" s="651"/>
      <c r="GGI266" s="691"/>
      <c r="GGJ266" s="651"/>
      <c r="GGK266" s="691"/>
      <c r="GGL266" s="651"/>
      <c r="GGM266" s="691"/>
      <c r="GGN266" s="651"/>
      <c r="GGO266" s="691"/>
      <c r="GGP266" s="651"/>
      <c r="GGQ266" s="691"/>
      <c r="GGR266" s="651"/>
      <c r="GGS266" s="691"/>
      <c r="GGT266" s="651"/>
      <c r="GGU266" s="691"/>
      <c r="GGV266" s="651"/>
      <c r="GGW266" s="691"/>
      <c r="GGX266" s="651"/>
      <c r="GGY266" s="691"/>
      <c r="GGZ266" s="651"/>
      <c r="GHA266" s="691"/>
      <c r="GHB266" s="651"/>
      <c r="GHC266" s="691"/>
      <c r="GHD266" s="651"/>
      <c r="GHE266" s="691"/>
      <c r="GHF266" s="651"/>
      <c r="GHG266" s="691"/>
      <c r="GHH266" s="651"/>
      <c r="GHI266" s="691"/>
      <c r="GHJ266" s="651"/>
      <c r="GHK266" s="691"/>
      <c r="GHL266" s="651"/>
      <c r="GHM266" s="691"/>
      <c r="GHN266" s="651"/>
      <c r="GHO266" s="691"/>
      <c r="GHP266" s="651"/>
      <c r="GHQ266" s="691"/>
      <c r="GHR266" s="651"/>
      <c r="GHS266" s="691"/>
      <c r="GHT266" s="651"/>
      <c r="GHU266" s="691"/>
      <c r="GHV266" s="651"/>
      <c r="GHW266" s="691"/>
      <c r="GHX266" s="651"/>
      <c r="GHY266" s="691"/>
      <c r="GHZ266" s="651"/>
      <c r="GIA266" s="691"/>
      <c r="GIB266" s="651"/>
      <c r="GIC266" s="691"/>
      <c r="GID266" s="651"/>
      <c r="GIE266" s="691"/>
      <c r="GIF266" s="651"/>
      <c r="GIG266" s="691"/>
      <c r="GIH266" s="651"/>
      <c r="GII266" s="691"/>
      <c r="GIJ266" s="651"/>
      <c r="GIK266" s="691"/>
      <c r="GIL266" s="651"/>
      <c r="GIM266" s="691"/>
      <c r="GIN266" s="651"/>
      <c r="GIO266" s="691"/>
      <c r="GIP266" s="651"/>
      <c r="GIQ266" s="691"/>
      <c r="GIR266" s="651"/>
      <c r="GIS266" s="691"/>
      <c r="GIT266" s="651"/>
      <c r="GIU266" s="691"/>
      <c r="GIV266" s="651"/>
      <c r="GIW266" s="691"/>
      <c r="GIX266" s="651"/>
      <c r="GIY266" s="691"/>
      <c r="GIZ266" s="651"/>
      <c r="GJA266" s="691"/>
      <c r="GJB266" s="651"/>
      <c r="GJC266" s="691"/>
      <c r="GJD266" s="651"/>
      <c r="GJE266" s="691"/>
      <c r="GJF266" s="651"/>
      <c r="GJG266" s="691"/>
      <c r="GJH266" s="651"/>
      <c r="GJI266" s="691"/>
      <c r="GJJ266" s="651"/>
      <c r="GJK266" s="691"/>
      <c r="GJL266" s="651"/>
      <c r="GJM266" s="691"/>
      <c r="GJN266" s="651"/>
      <c r="GJO266" s="691"/>
      <c r="GJP266" s="651"/>
      <c r="GJQ266" s="691"/>
      <c r="GJR266" s="651"/>
      <c r="GJS266" s="691"/>
      <c r="GJT266" s="651"/>
      <c r="GJU266" s="691"/>
      <c r="GJV266" s="651"/>
      <c r="GJW266" s="691"/>
      <c r="GJX266" s="651"/>
      <c r="GJY266" s="691"/>
      <c r="GJZ266" s="651"/>
      <c r="GKA266" s="691"/>
      <c r="GKB266" s="651"/>
      <c r="GKC266" s="691"/>
      <c r="GKD266" s="651"/>
      <c r="GKE266" s="691"/>
      <c r="GKF266" s="651"/>
      <c r="GKG266" s="691"/>
      <c r="GKH266" s="651"/>
      <c r="GKI266" s="691"/>
      <c r="GKJ266" s="651"/>
      <c r="GKK266" s="691"/>
      <c r="GKL266" s="651"/>
      <c r="GKM266" s="691"/>
      <c r="GKN266" s="651"/>
      <c r="GKO266" s="691"/>
      <c r="GKP266" s="651"/>
      <c r="GKQ266" s="691"/>
      <c r="GKR266" s="651"/>
      <c r="GKS266" s="691"/>
      <c r="GKT266" s="651"/>
      <c r="GKU266" s="691"/>
      <c r="GKV266" s="651"/>
      <c r="GKW266" s="691"/>
      <c r="GKX266" s="651"/>
      <c r="GKY266" s="691"/>
      <c r="GKZ266" s="651"/>
      <c r="GLA266" s="691"/>
      <c r="GLB266" s="651"/>
      <c r="GLC266" s="691"/>
      <c r="GLD266" s="651"/>
      <c r="GLE266" s="691"/>
      <c r="GLF266" s="651"/>
      <c r="GLG266" s="691"/>
      <c r="GLH266" s="651"/>
      <c r="GLI266" s="691"/>
      <c r="GLJ266" s="651"/>
      <c r="GLK266" s="691"/>
      <c r="GLL266" s="651"/>
      <c r="GLM266" s="691"/>
      <c r="GLN266" s="651"/>
      <c r="GLO266" s="691"/>
      <c r="GLP266" s="651"/>
      <c r="GLQ266" s="691"/>
      <c r="GLR266" s="651"/>
      <c r="GLS266" s="691"/>
      <c r="GLT266" s="651"/>
      <c r="GLU266" s="691"/>
      <c r="GLV266" s="651"/>
      <c r="GLW266" s="691"/>
      <c r="GLX266" s="651"/>
      <c r="GLY266" s="691"/>
      <c r="GLZ266" s="651"/>
      <c r="GMA266" s="691"/>
      <c r="GMB266" s="651"/>
      <c r="GMC266" s="691"/>
      <c r="GMD266" s="651"/>
      <c r="GME266" s="691"/>
      <c r="GMF266" s="651"/>
      <c r="GMG266" s="691"/>
      <c r="GMH266" s="651"/>
      <c r="GMI266" s="691"/>
      <c r="GMJ266" s="651"/>
      <c r="GMK266" s="691"/>
      <c r="GML266" s="651"/>
      <c r="GMM266" s="691"/>
      <c r="GMN266" s="651"/>
      <c r="GMO266" s="691"/>
      <c r="GMP266" s="651"/>
      <c r="GMQ266" s="691"/>
      <c r="GMR266" s="651"/>
      <c r="GMS266" s="691"/>
      <c r="GMT266" s="651"/>
      <c r="GMU266" s="691"/>
      <c r="GMV266" s="651"/>
      <c r="GMW266" s="691"/>
      <c r="GMX266" s="651"/>
      <c r="GMY266" s="691"/>
      <c r="GMZ266" s="651"/>
      <c r="GNA266" s="691"/>
      <c r="GNB266" s="651"/>
      <c r="GNC266" s="691"/>
      <c r="GND266" s="651"/>
      <c r="GNE266" s="691"/>
      <c r="GNF266" s="651"/>
      <c r="GNG266" s="691"/>
      <c r="GNH266" s="651"/>
      <c r="GNI266" s="691"/>
      <c r="GNJ266" s="651"/>
      <c r="GNK266" s="691"/>
      <c r="GNL266" s="651"/>
      <c r="GNM266" s="691"/>
      <c r="GNN266" s="651"/>
      <c r="GNO266" s="691"/>
      <c r="GNP266" s="651"/>
      <c r="GNQ266" s="691"/>
      <c r="GNR266" s="651"/>
      <c r="GNS266" s="691"/>
      <c r="GNT266" s="651"/>
      <c r="GNU266" s="691"/>
      <c r="GNV266" s="651"/>
      <c r="GNW266" s="691"/>
      <c r="GNX266" s="651"/>
      <c r="GNY266" s="691"/>
      <c r="GNZ266" s="651"/>
      <c r="GOA266" s="691"/>
      <c r="GOB266" s="651"/>
      <c r="GOC266" s="691"/>
      <c r="GOD266" s="651"/>
      <c r="GOE266" s="691"/>
      <c r="GOF266" s="651"/>
      <c r="GOG266" s="691"/>
      <c r="GOH266" s="651"/>
      <c r="GOI266" s="691"/>
      <c r="GOJ266" s="651"/>
      <c r="GOK266" s="691"/>
      <c r="GOL266" s="651"/>
      <c r="GOM266" s="691"/>
      <c r="GON266" s="651"/>
      <c r="GOO266" s="691"/>
      <c r="GOP266" s="651"/>
      <c r="GOQ266" s="691"/>
      <c r="GOR266" s="651"/>
      <c r="GOS266" s="691"/>
      <c r="GOT266" s="651"/>
      <c r="GOU266" s="691"/>
      <c r="GOV266" s="651"/>
      <c r="GOW266" s="691"/>
      <c r="GOX266" s="651"/>
      <c r="GOY266" s="691"/>
      <c r="GOZ266" s="651"/>
      <c r="GPA266" s="691"/>
      <c r="GPB266" s="651"/>
      <c r="GPC266" s="691"/>
      <c r="GPD266" s="651"/>
      <c r="GPE266" s="691"/>
      <c r="GPF266" s="651"/>
      <c r="GPG266" s="691"/>
      <c r="GPH266" s="651"/>
      <c r="GPI266" s="691"/>
      <c r="GPJ266" s="651"/>
      <c r="GPK266" s="691"/>
      <c r="GPL266" s="651"/>
      <c r="GPM266" s="691"/>
      <c r="GPN266" s="651"/>
      <c r="GPO266" s="691"/>
      <c r="GPP266" s="651"/>
      <c r="GPQ266" s="691"/>
      <c r="GPR266" s="651"/>
      <c r="GPS266" s="691"/>
      <c r="GPT266" s="651"/>
      <c r="GPU266" s="691"/>
      <c r="GPV266" s="651"/>
      <c r="GPW266" s="691"/>
      <c r="GPX266" s="651"/>
      <c r="GPY266" s="691"/>
      <c r="GPZ266" s="651"/>
      <c r="GQA266" s="691"/>
      <c r="GQB266" s="651"/>
      <c r="GQC266" s="691"/>
      <c r="GQD266" s="651"/>
      <c r="GQE266" s="691"/>
      <c r="GQF266" s="651"/>
      <c r="GQG266" s="691"/>
      <c r="GQH266" s="651"/>
      <c r="GQI266" s="691"/>
      <c r="GQJ266" s="651"/>
      <c r="GQK266" s="691"/>
      <c r="GQL266" s="651"/>
      <c r="GQM266" s="691"/>
      <c r="GQN266" s="651"/>
      <c r="GQO266" s="691"/>
      <c r="GQP266" s="651"/>
      <c r="GQQ266" s="691"/>
      <c r="GQR266" s="651"/>
      <c r="GQS266" s="691"/>
      <c r="GQT266" s="651"/>
      <c r="GQU266" s="691"/>
      <c r="GQV266" s="651"/>
      <c r="GQW266" s="691"/>
      <c r="GQX266" s="651"/>
      <c r="GQY266" s="691"/>
      <c r="GQZ266" s="651"/>
      <c r="GRA266" s="691"/>
      <c r="GRB266" s="651"/>
      <c r="GRC266" s="691"/>
      <c r="GRD266" s="651"/>
      <c r="GRE266" s="691"/>
      <c r="GRF266" s="651"/>
      <c r="GRG266" s="691"/>
      <c r="GRH266" s="651"/>
      <c r="GRI266" s="691"/>
      <c r="GRJ266" s="651"/>
      <c r="GRK266" s="691"/>
      <c r="GRL266" s="651"/>
      <c r="GRM266" s="691"/>
      <c r="GRN266" s="651"/>
      <c r="GRO266" s="691"/>
      <c r="GRP266" s="651"/>
      <c r="GRQ266" s="691"/>
      <c r="GRR266" s="651"/>
      <c r="GRS266" s="691"/>
      <c r="GRT266" s="651"/>
      <c r="GRU266" s="691"/>
      <c r="GRV266" s="651"/>
      <c r="GRW266" s="691"/>
      <c r="GRX266" s="651"/>
      <c r="GRY266" s="691"/>
      <c r="GRZ266" s="651"/>
      <c r="GSA266" s="691"/>
      <c r="GSB266" s="651"/>
      <c r="GSC266" s="691"/>
      <c r="GSD266" s="651"/>
      <c r="GSE266" s="691"/>
      <c r="GSF266" s="651"/>
      <c r="GSG266" s="691"/>
      <c r="GSH266" s="651"/>
      <c r="GSI266" s="691"/>
      <c r="GSJ266" s="651"/>
      <c r="GSK266" s="691"/>
      <c r="GSL266" s="651"/>
      <c r="GSM266" s="691"/>
      <c r="GSN266" s="651"/>
      <c r="GSO266" s="691"/>
      <c r="GSP266" s="651"/>
      <c r="GSQ266" s="691"/>
      <c r="GSR266" s="651"/>
      <c r="GSS266" s="691"/>
      <c r="GST266" s="651"/>
      <c r="GSU266" s="691"/>
      <c r="GSV266" s="651"/>
      <c r="GSW266" s="691"/>
      <c r="GSX266" s="651"/>
      <c r="GSY266" s="691"/>
      <c r="GSZ266" s="651"/>
      <c r="GTA266" s="691"/>
      <c r="GTB266" s="651"/>
      <c r="GTC266" s="691"/>
      <c r="GTD266" s="651"/>
      <c r="GTE266" s="691"/>
      <c r="GTF266" s="651"/>
      <c r="GTG266" s="691"/>
      <c r="GTH266" s="651"/>
      <c r="GTI266" s="691"/>
      <c r="GTJ266" s="651"/>
      <c r="GTK266" s="691"/>
      <c r="GTL266" s="651"/>
      <c r="GTM266" s="691"/>
      <c r="GTN266" s="651"/>
      <c r="GTO266" s="691"/>
      <c r="GTP266" s="651"/>
      <c r="GTQ266" s="691"/>
      <c r="GTR266" s="651"/>
      <c r="GTS266" s="691"/>
      <c r="GTT266" s="651"/>
      <c r="GTU266" s="691"/>
      <c r="GTV266" s="651"/>
      <c r="GTW266" s="691"/>
      <c r="GTX266" s="651"/>
      <c r="GTY266" s="691"/>
      <c r="GTZ266" s="651"/>
      <c r="GUA266" s="691"/>
      <c r="GUB266" s="651"/>
      <c r="GUC266" s="691"/>
      <c r="GUD266" s="651"/>
      <c r="GUE266" s="691"/>
      <c r="GUF266" s="651"/>
      <c r="GUG266" s="691"/>
      <c r="GUH266" s="651"/>
      <c r="GUI266" s="691"/>
      <c r="GUJ266" s="651"/>
      <c r="GUK266" s="691"/>
      <c r="GUL266" s="651"/>
      <c r="GUM266" s="691"/>
      <c r="GUN266" s="651"/>
      <c r="GUO266" s="691"/>
      <c r="GUP266" s="651"/>
      <c r="GUQ266" s="691"/>
      <c r="GUR266" s="651"/>
      <c r="GUS266" s="691"/>
      <c r="GUT266" s="651"/>
      <c r="GUU266" s="691"/>
      <c r="GUV266" s="651"/>
      <c r="GUW266" s="691"/>
      <c r="GUX266" s="651"/>
      <c r="GUY266" s="691"/>
      <c r="GUZ266" s="651"/>
      <c r="GVA266" s="691"/>
      <c r="GVB266" s="651"/>
      <c r="GVC266" s="691"/>
      <c r="GVD266" s="651"/>
      <c r="GVE266" s="691"/>
      <c r="GVF266" s="651"/>
      <c r="GVG266" s="691"/>
      <c r="GVH266" s="651"/>
      <c r="GVI266" s="691"/>
      <c r="GVJ266" s="651"/>
      <c r="GVK266" s="691"/>
      <c r="GVL266" s="651"/>
      <c r="GVM266" s="691"/>
      <c r="GVN266" s="651"/>
      <c r="GVO266" s="691"/>
      <c r="GVP266" s="651"/>
      <c r="GVQ266" s="691"/>
      <c r="GVR266" s="651"/>
      <c r="GVS266" s="691"/>
      <c r="GVT266" s="651"/>
      <c r="GVU266" s="691"/>
      <c r="GVV266" s="651"/>
      <c r="GVW266" s="691"/>
      <c r="GVX266" s="651"/>
      <c r="GVY266" s="691"/>
      <c r="GVZ266" s="651"/>
      <c r="GWA266" s="691"/>
      <c r="GWB266" s="651"/>
      <c r="GWC266" s="691"/>
      <c r="GWD266" s="651"/>
      <c r="GWE266" s="691"/>
      <c r="GWF266" s="651"/>
      <c r="GWG266" s="691"/>
      <c r="GWH266" s="651"/>
      <c r="GWI266" s="691"/>
      <c r="GWJ266" s="651"/>
      <c r="GWK266" s="691"/>
      <c r="GWL266" s="651"/>
      <c r="GWM266" s="691"/>
      <c r="GWN266" s="651"/>
      <c r="GWO266" s="691"/>
      <c r="GWP266" s="651"/>
      <c r="GWQ266" s="691"/>
      <c r="GWR266" s="651"/>
      <c r="GWS266" s="691"/>
      <c r="GWT266" s="651"/>
      <c r="GWU266" s="691"/>
      <c r="GWV266" s="651"/>
      <c r="GWW266" s="691"/>
      <c r="GWX266" s="651"/>
      <c r="GWY266" s="691"/>
      <c r="GWZ266" s="651"/>
      <c r="GXA266" s="691"/>
      <c r="GXB266" s="651"/>
      <c r="GXC266" s="691"/>
      <c r="GXD266" s="651"/>
      <c r="GXE266" s="691"/>
      <c r="GXF266" s="651"/>
      <c r="GXG266" s="691"/>
      <c r="GXH266" s="651"/>
      <c r="GXI266" s="691"/>
      <c r="GXJ266" s="651"/>
      <c r="GXK266" s="691"/>
      <c r="GXL266" s="651"/>
      <c r="GXM266" s="691"/>
      <c r="GXN266" s="651"/>
      <c r="GXO266" s="691"/>
      <c r="GXP266" s="651"/>
      <c r="GXQ266" s="691"/>
      <c r="GXR266" s="651"/>
      <c r="GXS266" s="691"/>
      <c r="GXT266" s="651"/>
      <c r="GXU266" s="691"/>
      <c r="GXV266" s="651"/>
      <c r="GXW266" s="691"/>
      <c r="GXX266" s="651"/>
      <c r="GXY266" s="691"/>
      <c r="GXZ266" s="651"/>
      <c r="GYA266" s="691"/>
      <c r="GYB266" s="651"/>
      <c r="GYC266" s="691"/>
      <c r="GYD266" s="651"/>
      <c r="GYE266" s="691"/>
      <c r="GYF266" s="651"/>
      <c r="GYG266" s="691"/>
      <c r="GYH266" s="651"/>
      <c r="GYI266" s="691"/>
      <c r="GYJ266" s="651"/>
      <c r="GYK266" s="691"/>
      <c r="GYL266" s="651"/>
      <c r="GYM266" s="691"/>
      <c r="GYN266" s="651"/>
      <c r="GYO266" s="691"/>
      <c r="GYP266" s="651"/>
      <c r="GYQ266" s="691"/>
      <c r="GYR266" s="651"/>
      <c r="GYS266" s="691"/>
      <c r="GYT266" s="651"/>
      <c r="GYU266" s="691"/>
      <c r="GYV266" s="651"/>
      <c r="GYW266" s="691"/>
      <c r="GYX266" s="651"/>
      <c r="GYY266" s="691"/>
      <c r="GYZ266" s="651"/>
      <c r="GZA266" s="691"/>
      <c r="GZB266" s="651"/>
      <c r="GZC266" s="691"/>
      <c r="GZD266" s="651"/>
      <c r="GZE266" s="691"/>
      <c r="GZF266" s="651"/>
      <c r="GZG266" s="691"/>
      <c r="GZH266" s="651"/>
      <c r="GZI266" s="691"/>
      <c r="GZJ266" s="651"/>
      <c r="GZK266" s="691"/>
      <c r="GZL266" s="651"/>
      <c r="GZM266" s="691"/>
      <c r="GZN266" s="651"/>
      <c r="GZO266" s="691"/>
      <c r="GZP266" s="651"/>
      <c r="GZQ266" s="691"/>
      <c r="GZR266" s="651"/>
      <c r="GZS266" s="691"/>
      <c r="GZT266" s="651"/>
      <c r="GZU266" s="691"/>
      <c r="GZV266" s="651"/>
      <c r="GZW266" s="691"/>
      <c r="GZX266" s="651"/>
      <c r="GZY266" s="691"/>
      <c r="GZZ266" s="651"/>
      <c r="HAA266" s="691"/>
      <c r="HAB266" s="651"/>
      <c r="HAC266" s="691"/>
      <c r="HAD266" s="651"/>
      <c r="HAE266" s="691"/>
      <c r="HAF266" s="651"/>
      <c r="HAG266" s="691"/>
      <c r="HAH266" s="651"/>
      <c r="HAI266" s="691"/>
      <c r="HAJ266" s="651"/>
      <c r="HAK266" s="691"/>
      <c r="HAL266" s="651"/>
      <c r="HAM266" s="691"/>
      <c r="HAN266" s="651"/>
      <c r="HAO266" s="691"/>
      <c r="HAP266" s="651"/>
      <c r="HAQ266" s="691"/>
      <c r="HAR266" s="651"/>
      <c r="HAS266" s="691"/>
      <c r="HAT266" s="651"/>
      <c r="HAU266" s="691"/>
      <c r="HAV266" s="651"/>
      <c r="HAW266" s="691"/>
      <c r="HAX266" s="651"/>
      <c r="HAY266" s="691"/>
      <c r="HAZ266" s="651"/>
      <c r="HBA266" s="691"/>
      <c r="HBB266" s="651"/>
      <c r="HBC266" s="691"/>
      <c r="HBD266" s="651"/>
      <c r="HBE266" s="691"/>
      <c r="HBF266" s="651"/>
      <c r="HBG266" s="691"/>
      <c r="HBH266" s="651"/>
      <c r="HBI266" s="691"/>
      <c r="HBJ266" s="651"/>
      <c r="HBK266" s="691"/>
      <c r="HBL266" s="651"/>
      <c r="HBM266" s="691"/>
      <c r="HBN266" s="651"/>
      <c r="HBO266" s="691"/>
      <c r="HBP266" s="651"/>
      <c r="HBQ266" s="691"/>
      <c r="HBR266" s="651"/>
      <c r="HBS266" s="691"/>
      <c r="HBT266" s="651"/>
      <c r="HBU266" s="691"/>
      <c r="HBV266" s="651"/>
      <c r="HBW266" s="691"/>
      <c r="HBX266" s="651"/>
      <c r="HBY266" s="691"/>
      <c r="HBZ266" s="651"/>
      <c r="HCA266" s="691"/>
      <c r="HCB266" s="651"/>
      <c r="HCC266" s="691"/>
      <c r="HCD266" s="651"/>
      <c r="HCE266" s="691"/>
      <c r="HCF266" s="651"/>
      <c r="HCG266" s="691"/>
      <c r="HCH266" s="651"/>
      <c r="HCI266" s="691"/>
      <c r="HCJ266" s="651"/>
      <c r="HCK266" s="691"/>
      <c r="HCL266" s="651"/>
      <c r="HCM266" s="691"/>
      <c r="HCN266" s="651"/>
      <c r="HCO266" s="691"/>
      <c r="HCP266" s="651"/>
      <c r="HCQ266" s="691"/>
      <c r="HCR266" s="651"/>
      <c r="HCS266" s="691"/>
      <c r="HCT266" s="651"/>
      <c r="HCU266" s="691"/>
      <c r="HCV266" s="651"/>
      <c r="HCW266" s="691"/>
      <c r="HCX266" s="651"/>
      <c r="HCY266" s="691"/>
      <c r="HCZ266" s="651"/>
      <c r="HDA266" s="691"/>
      <c r="HDB266" s="651"/>
      <c r="HDC266" s="691"/>
      <c r="HDD266" s="651"/>
      <c r="HDE266" s="691"/>
      <c r="HDF266" s="651"/>
      <c r="HDG266" s="691"/>
      <c r="HDH266" s="651"/>
      <c r="HDI266" s="691"/>
      <c r="HDJ266" s="651"/>
      <c r="HDK266" s="691"/>
      <c r="HDL266" s="651"/>
      <c r="HDM266" s="691"/>
      <c r="HDN266" s="651"/>
      <c r="HDO266" s="691"/>
      <c r="HDP266" s="651"/>
      <c r="HDQ266" s="691"/>
      <c r="HDR266" s="651"/>
      <c r="HDS266" s="691"/>
      <c r="HDT266" s="651"/>
      <c r="HDU266" s="691"/>
      <c r="HDV266" s="651"/>
      <c r="HDW266" s="691"/>
      <c r="HDX266" s="651"/>
      <c r="HDY266" s="691"/>
      <c r="HDZ266" s="651"/>
      <c r="HEA266" s="691"/>
      <c r="HEB266" s="651"/>
      <c r="HEC266" s="691"/>
      <c r="HED266" s="651"/>
      <c r="HEE266" s="691"/>
      <c r="HEF266" s="651"/>
      <c r="HEG266" s="691"/>
      <c r="HEH266" s="651"/>
      <c r="HEI266" s="691"/>
      <c r="HEJ266" s="651"/>
      <c r="HEK266" s="691"/>
      <c r="HEL266" s="651"/>
      <c r="HEM266" s="691"/>
      <c r="HEN266" s="651"/>
      <c r="HEO266" s="691"/>
      <c r="HEP266" s="651"/>
      <c r="HEQ266" s="691"/>
      <c r="HER266" s="651"/>
      <c r="HES266" s="691"/>
      <c r="HET266" s="651"/>
      <c r="HEU266" s="691"/>
      <c r="HEV266" s="651"/>
      <c r="HEW266" s="691"/>
      <c r="HEX266" s="651"/>
      <c r="HEY266" s="691"/>
      <c r="HEZ266" s="651"/>
      <c r="HFA266" s="691"/>
      <c r="HFB266" s="651"/>
      <c r="HFC266" s="691"/>
      <c r="HFD266" s="651"/>
      <c r="HFE266" s="691"/>
      <c r="HFF266" s="651"/>
      <c r="HFG266" s="691"/>
      <c r="HFH266" s="651"/>
      <c r="HFI266" s="691"/>
      <c r="HFJ266" s="651"/>
      <c r="HFK266" s="691"/>
      <c r="HFL266" s="651"/>
      <c r="HFM266" s="691"/>
      <c r="HFN266" s="651"/>
      <c r="HFO266" s="691"/>
      <c r="HFP266" s="651"/>
      <c r="HFQ266" s="691"/>
      <c r="HFR266" s="651"/>
      <c r="HFS266" s="691"/>
      <c r="HFT266" s="651"/>
      <c r="HFU266" s="691"/>
      <c r="HFV266" s="651"/>
      <c r="HFW266" s="691"/>
      <c r="HFX266" s="651"/>
      <c r="HFY266" s="691"/>
      <c r="HFZ266" s="651"/>
      <c r="HGA266" s="691"/>
      <c r="HGB266" s="651"/>
      <c r="HGC266" s="691"/>
      <c r="HGD266" s="651"/>
      <c r="HGE266" s="691"/>
      <c r="HGF266" s="651"/>
      <c r="HGG266" s="691"/>
      <c r="HGH266" s="651"/>
      <c r="HGI266" s="691"/>
      <c r="HGJ266" s="651"/>
      <c r="HGK266" s="691"/>
      <c r="HGL266" s="651"/>
      <c r="HGM266" s="691"/>
      <c r="HGN266" s="651"/>
      <c r="HGO266" s="691"/>
      <c r="HGP266" s="651"/>
      <c r="HGQ266" s="691"/>
      <c r="HGR266" s="651"/>
      <c r="HGS266" s="691"/>
      <c r="HGT266" s="651"/>
      <c r="HGU266" s="691"/>
      <c r="HGV266" s="651"/>
      <c r="HGW266" s="691"/>
      <c r="HGX266" s="651"/>
      <c r="HGY266" s="691"/>
      <c r="HGZ266" s="651"/>
      <c r="HHA266" s="691"/>
      <c r="HHB266" s="651"/>
      <c r="HHC266" s="691"/>
      <c r="HHD266" s="651"/>
      <c r="HHE266" s="691"/>
      <c r="HHF266" s="651"/>
      <c r="HHG266" s="691"/>
      <c r="HHH266" s="651"/>
      <c r="HHI266" s="691"/>
      <c r="HHJ266" s="651"/>
      <c r="HHK266" s="691"/>
      <c r="HHL266" s="651"/>
      <c r="HHM266" s="691"/>
      <c r="HHN266" s="651"/>
      <c r="HHO266" s="691"/>
      <c r="HHP266" s="651"/>
      <c r="HHQ266" s="691"/>
      <c r="HHR266" s="651"/>
      <c r="HHS266" s="691"/>
      <c r="HHT266" s="651"/>
      <c r="HHU266" s="691"/>
      <c r="HHV266" s="651"/>
      <c r="HHW266" s="691"/>
      <c r="HHX266" s="651"/>
      <c r="HHY266" s="691"/>
      <c r="HHZ266" s="651"/>
      <c r="HIA266" s="691"/>
      <c r="HIB266" s="651"/>
      <c r="HIC266" s="691"/>
      <c r="HID266" s="651"/>
      <c r="HIE266" s="691"/>
      <c r="HIF266" s="651"/>
      <c r="HIG266" s="691"/>
      <c r="HIH266" s="651"/>
      <c r="HII266" s="691"/>
      <c r="HIJ266" s="651"/>
      <c r="HIK266" s="691"/>
      <c r="HIL266" s="651"/>
      <c r="HIM266" s="691"/>
      <c r="HIN266" s="651"/>
      <c r="HIO266" s="691"/>
      <c r="HIP266" s="651"/>
      <c r="HIQ266" s="691"/>
      <c r="HIR266" s="651"/>
      <c r="HIS266" s="691"/>
      <c r="HIT266" s="651"/>
      <c r="HIU266" s="691"/>
      <c r="HIV266" s="651"/>
      <c r="HIW266" s="691"/>
      <c r="HIX266" s="651"/>
      <c r="HIY266" s="691"/>
      <c r="HIZ266" s="651"/>
      <c r="HJA266" s="691"/>
      <c r="HJB266" s="651"/>
      <c r="HJC266" s="691"/>
      <c r="HJD266" s="651"/>
      <c r="HJE266" s="691"/>
      <c r="HJF266" s="651"/>
      <c r="HJG266" s="691"/>
      <c r="HJH266" s="651"/>
      <c r="HJI266" s="691"/>
      <c r="HJJ266" s="651"/>
      <c r="HJK266" s="691"/>
      <c r="HJL266" s="651"/>
      <c r="HJM266" s="691"/>
      <c r="HJN266" s="651"/>
      <c r="HJO266" s="691"/>
      <c r="HJP266" s="651"/>
      <c r="HJQ266" s="691"/>
      <c r="HJR266" s="651"/>
      <c r="HJS266" s="691"/>
      <c r="HJT266" s="651"/>
      <c r="HJU266" s="691"/>
      <c r="HJV266" s="651"/>
      <c r="HJW266" s="691"/>
      <c r="HJX266" s="651"/>
      <c r="HJY266" s="691"/>
      <c r="HJZ266" s="651"/>
      <c r="HKA266" s="691"/>
      <c r="HKB266" s="651"/>
      <c r="HKC266" s="691"/>
      <c r="HKD266" s="651"/>
      <c r="HKE266" s="691"/>
      <c r="HKF266" s="651"/>
      <c r="HKG266" s="691"/>
      <c r="HKH266" s="651"/>
      <c r="HKI266" s="691"/>
      <c r="HKJ266" s="651"/>
      <c r="HKK266" s="691"/>
      <c r="HKL266" s="651"/>
      <c r="HKM266" s="691"/>
      <c r="HKN266" s="651"/>
      <c r="HKO266" s="691"/>
      <c r="HKP266" s="651"/>
      <c r="HKQ266" s="691"/>
      <c r="HKR266" s="651"/>
      <c r="HKS266" s="691"/>
      <c r="HKT266" s="651"/>
      <c r="HKU266" s="691"/>
      <c r="HKV266" s="651"/>
      <c r="HKW266" s="691"/>
      <c r="HKX266" s="651"/>
      <c r="HKY266" s="691"/>
      <c r="HKZ266" s="651"/>
      <c r="HLA266" s="691"/>
      <c r="HLB266" s="651"/>
      <c r="HLC266" s="691"/>
      <c r="HLD266" s="651"/>
      <c r="HLE266" s="691"/>
      <c r="HLF266" s="651"/>
      <c r="HLG266" s="691"/>
      <c r="HLH266" s="651"/>
      <c r="HLI266" s="691"/>
      <c r="HLJ266" s="651"/>
      <c r="HLK266" s="691"/>
      <c r="HLL266" s="651"/>
      <c r="HLM266" s="691"/>
      <c r="HLN266" s="651"/>
      <c r="HLO266" s="691"/>
      <c r="HLP266" s="651"/>
      <c r="HLQ266" s="691"/>
      <c r="HLR266" s="651"/>
      <c r="HLS266" s="691"/>
      <c r="HLT266" s="651"/>
      <c r="HLU266" s="691"/>
      <c r="HLV266" s="651"/>
      <c r="HLW266" s="691"/>
      <c r="HLX266" s="651"/>
      <c r="HLY266" s="691"/>
      <c r="HLZ266" s="651"/>
      <c r="HMA266" s="691"/>
      <c r="HMB266" s="651"/>
      <c r="HMC266" s="691"/>
      <c r="HMD266" s="651"/>
      <c r="HME266" s="691"/>
      <c r="HMF266" s="651"/>
      <c r="HMG266" s="691"/>
      <c r="HMH266" s="651"/>
      <c r="HMI266" s="691"/>
      <c r="HMJ266" s="651"/>
      <c r="HMK266" s="691"/>
      <c r="HML266" s="651"/>
      <c r="HMM266" s="691"/>
      <c r="HMN266" s="651"/>
      <c r="HMO266" s="691"/>
      <c r="HMP266" s="651"/>
      <c r="HMQ266" s="691"/>
      <c r="HMR266" s="651"/>
      <c r="HMS266" s="691"/>
      <c r="HMT266" s="651"/>
      <c r="HMU266" s="691"/>
      <c r="HMV266" s="651"/>
      <c r="HMW266" s="691"/>
      <c r="HMX266" s="651"/>
      <c r="HMY266" s="691"/>
      <c r="HMZ266" s="651"/>
      <c r="HNA266" s="691"/>
      <c r="HNB266" s="651"/>
      <c r="HNC266" s="691"/>
      <c r="HND266" s="651"/>
      <c r="HNE266" s="691"/>
      <c r="HNF266" s="651"/>
      <c r="HNG266" s="691"/>
      <c r="HNH266" s="651"/>
      <c r="HNI266" s="691"/>
      <c r="HNJ266" s="651"/>
      <c r="HNK266" s="691"/>
      <c r="HNL266" s="651"/>
      <c r="HNM266" s="691"/>
      <c r="HNN266" s="651"/>
      <c r="HNO266" s="691"/>
      <c r="HNP266" s="651"/>
      <c r="HNQ266" s="691"/>
      <c r="HNR266" s="651"/>
      <c r="HNS266" s="691"/>
      <c r="HNT266" s="651"/>
      <c r="HNU266" s="691"/>
      <c r="HNV266" s="651"/>
      <c r="HNW266" s="691"/>
      <c r="HNX266" s="651"/>
      <c r="HNY266" s="691"/>
      <c r="HNZ266" s="651"/>
      <c r="HOA266" s="691"/>
      <c r="HOB266" s="651"/>
      <c r="HOC266" s="691"/>
      <c r="HOD266" s="651"/>
      <c r="HOE266" s="691"/>
      <c r="HOF266" s="651"/>
      <c r="HOG266" s="691"/>
      <c r="HOH266" s="651"/>
      <c r="HOI266" s="691"/>
      <c r="HOJ266" s="651"/>
      <c r="HOK266" s="691"/>
      <c r="HOL266" s="651"/>
      <c r="HOM266" s="691"/>
      <c r="HON266" s="651"/>
      <c r="HOO266" s="691"/>
      <c r="HOP266" s="651"/>
      <c r="HOQ266" s="691"/>
      <c r="HOR266" s="651"/>
      <c r="HOS266" s="691"/>
      <c r="HOT266" s="651"/>
      <c r="HOU266" s="691"/>
      <c r="HOV266" s="651"/>
      <c r="HOW266" s="691"/>
      <c r="HOX266" s="651"/>
      <c r="HOY266" s="691"/>
      <c r="HOZ266" s="651"/>
      <c r="HPA266" s="691"/>
      <c r="HPB266" s="651"/>
      <c r="HPC266" s="691"/>
      <c r="HPD266" s="651"/>
      <c r="HPE266" s="691"/>
      <c r="HPF266" s="651"/>
      <c r="HPG266" s="691"/>
      <c r="HPH266" s="651"/>
      <c r="HPI266" s="691"/>
      <c r="HPJ266" s="651"/>
      <c r="HPK266" s="691"/>
      <c r="HPL266" s="651"/>
      <c r="HPM266" s="691"/>
      <c r="HPN266" s="651"/>
      <c r="HPO266" s="691"/>
      <c r="HPP266" s="651"/>
      <c r="HPQ266" s="691"/>
      <c r="HPR266" s="651"/>
      <c r="HPS266" s="691"/>
      <c r="HPT266" s="651"/>
      <c r="HPU266" s="691"/>
      <c r="HPV266" s="651"/>
      <c r="HPW266" s="691"/>
      <c r="HPX266" s="651"/>
      <c r="HPY266" s="691"/>
      <c r="HPZ266" s="651"/>
      <c r="HQA266" s="691"/>
      <c r="HQB266" s="651"/>
      <c r="HQC266" s="691"/>
      <c r="HQD266" s="651"/>
      <c r="HQE266" s="691"/>
      <c r="HQF266" s="651"/>
      <c r="HQG266" s="691"/>
      <c r="HQH266" s="651"/>
      <c r="HQI266" s="691"/>
      <c r="HQJ266" s="651"/>
      <c r="HQK266" s="691"/>
      <c r="HQL266" s="651"/>
      <c r="HQM266" s="691"/>
      <c r="HQN266" s="651"/>
      <c r="HQO266" s="691"/>
      <c r="HQP266" s="651"/>
      <c r="HQQ266" s="691"/>
      <c r="HQR266" s="651"/>
      <c r="HQS266" s="691"/>
      <c r="HQT266" s="651"/>
      <c r="HQU266" s="691"/>
      <c r="HQV266" s="651"/>
      <c r="HQW266" s="691"/>
      <c r="HQX266" s="651"/>
      <c r="HQY266" s="691"/>
      <c r="HQZ266" s="651"/>
      <c r="HRA266" s="691"/>
      <c r="HRB266" s="651"/>
      <c r="HRC266" s="691"/>
      <c r="HRD266" s="651"/>
      <c r="HRE266" s="691"/>
      <c r="HRF266" s="651"/>
      <c r="HRG266" s="691"/>
      <c r="HRH266" s="651"/>
      <c r="HRI266" s="691"/>
      <c r="HRJ266" s="651"/>
      <c r="HRK266" s="691"/>
      <c r="HRL266" s="651"/>
      <c r="HRM266" s="691"/>
      <c r="HRN266" s="651"/>
      <c r="HRO266" s="691"/>
      <c r="HRP266" s="651"/>
      <c r="HRQ266" s="691"/>
      <c r="HRR266" s="651"/>
      <c r="HRS266" s="691"/>
      <c r="HRT266" s="651"/>
      <c r="HRU266" s="691"/>
      <c r="HRV266" s="651"/>
      <c r="HRW266" s="691"/>
      <c r="HRX266" s="651"/>
      <c r="HRY266" s="691"/>
      <c r="HRZ266" s="651"/>
      <c r="HSA266" s="691"/>
      <c r="HSB266" s="651"/>
      <c r="HSC266" s="691"/>
      <c r="HSD266" s="651"/>
      <c r="HSE266" s="691"/>
      <c r="HSF266" s="651"/>
      <c r="HSG266" s="691"/>
      <c r="HSH266" s="651"/>
      <c r="HSI266" s="691"/>
      <c r="HSJ266" s="651"/>
      <c r="HSK266" s="691"/>
      <c r="HSL266" s="651"/>
      <c r="HSM266" s="691"/>
      <c r="HSN266" s="651"/>
      <c r="HSO266" s="691"/>
      <c r="HSP266" s="651"/>
      <c r="HSQ266" s="691"/>
      <c r="HSR266" s="651"/>
      <c r="HSS266" s="691"/>
      <c r="HST266" s="651"/>
      <c r="HSU266" s="691"/>
      <c r="HSV266" s="651"/>
      <c r="HSW266" s="691"/>
      <c r="HSX266" s="651"/>
      <c r="HSY266" s="691"/>
      <c r="HSZ266" s="651"/>
      <c r="HTA266" s="691"/>
      <c r="HTB266" s="651"/>
      <c r="HTC266" s="691"/>
      <c r="HTD266" s="651"/>
      <c r="HTE266" s="691"/>
      <c r="HTF266" s="651"/>
      <c r="HTG266" s="691"/>
      <c r="HTH266" s="651"/>
      <c r="HTI266" s="691"/>
      <c r="HTJ266" s="651"/>
      <c r="HTK266" s="691"/>
      <c r="HTL266" s="651"/>
      <c r="HTM266" s="691"/>
      <c r="HTN266" s="651"/>
      <c r="HTO266" s="691"/>
      <c r="HTP266" s="651"/>
      <c r="HTQ266" s="691"/>
      <c r="HTR266" s="651"/>
      <c r="HTS266" s="691"/>
      <c r="HTT266" s="651"/>
      <c r="HTU266" s="691"/>
      <c r="HTV266" s="651"/>
      <c r="HTW266" s="691"/>
      <c r="HTX266" s="651"/>
      <c r="HTY266" s="691"/>
      <c r="HTZ266" s="651"/>
      <c r="HUA266" s="691"/>
      <c r="HUB266" s="651"/>
      <c r="HUC266" s="691"/>
      <c r="HUD266" s="651"/>
      <c r="HUE266" s="691"/>
      <c r="HUF266" s="651"/>
      <c r="HUG266" s="691"/>
      <c r="HUH266" s="651"/>
      <c r="HUI266" s="691"/>
      <c r="HUJ266" s="651"/>
      <c r="HUK266" s="691"/>
      <c r="HUL266" s="651"/>
      <c r="HUM266" s="691"/>
      <c r="HUN266" s="651"/>
      <c r="HUO266" s="691"/>
      <c r="HUP266" s="651"/>
      <c r="HUQ266" s="691"/>
      <c r="HUR266" s="651"/>
      <c r="HUS266" s="691"/>
      <c r="HUT266" s="651"/>
      <c r="HUU266" s="691"/>
      <c r="HUV266" s="651"/>
      <c r="HUW266" s="691"/>
      <c r="HUX266" s="651"/>
      <c r="HUY266" s="691"/>
      <c r="HUZ266" s="651"/>
      <c r="HVA266" s="691"/>
      <c r="HVB266" s="651"/>
      <c r="HVC266" s="691"/>
      <c r="HVD266" s="651"/>
      <c r="HVE266" s="691"/>
      <c r="HVF266" s="651"/>
      <c r="HVG266" s="691"/>
      <c r="HVH266" s="651"/>
      <c r="HVI266" s="691"/>
      <c r="HVJ266" s="651"/>
      <c r="HVK266" s="691"/>
      <c r="HVL266" s="651"/>
      <c r="HVM266" s="691"/>
      <c r="HVN266" s="651"/>
      <c r="HVO266" s="691"/>
      <c r="HVP266" s="651"/>
      <c r="HVQ266" s="691"/>
      <c r="HVR266" s="651"/>
      <c r="HVS266" s="691"/>
      <c r="HVT266" s="651"/>
      <c r="HVU266" s="691"/>
      <c r="HVV266" s="651"/>
      <c r="HVW266" s="691"/>
      <c r="HVX266" s="651"/>
      <c r="HVY266" s="691"/>
      <c r="HVZ266" s="651"/>
      <c r="HWA266" s="691"/>
      <c r="HWB266" s="651"/>
      <c r="HWC266" s="691"/>
      <c r="HWD266" s="651"/>
      <c r="HWE266" s="691"/>
      <c r="HWF266" s="651"/>
      <c r="HWG266" s="691"/>
      <c r="HWH266" s="651"/>
      <c r="HWI266" s="691"/>
      <c r="HWJ266" s="651"/>
      <c r="HWK266" s="691"/>
      <c r="HWL266" s="651"/>
      <c r="HWM266" s="691"/>
      <c r="HWN266" s="651"/>
      <c r="HWO266" s="691"/>
      <c r="HWP266" s="651"/>
      <c r="HWQ266" s="691"/>
      <c r="HWR266" s="651"/>
      <c r="HWS266" s="691"/>
      <c r="HWT266" s="651"/>
      <c r="HWU266" s="691"/>
      <c r="HWV266" s="651"/>
      <c r="HWW266" s="691"/>
      <c r="HWX266" s="651"/>
      <c r="HWY266" s="691"/>
      <c r="HWZ266" s="651"/>
      <c r="HXA266" s="691"/>
      <c r="HXB266" s="651"/>
      <c r="HXC266" s="691"/>
      <c r="HXD266" s="651"/>
      <c r="HXE266" s="691"/>
      <c r="HXF266" s="651"/>
      <c r="HXG266" s="691"/>
      <c r="HXH266" s="651"/>
      <c r="HXI266" s="691"/>
      <c r="HXJ266" s="651"/>
      <c r="HXK266" s="691"/>
      <c r="HXL266" s="651"/>
      <c r="HXM266" s="691"/>
      <c r="HXN266" s="651"/>
      <c r="HXO266" s="691"/>
      <c r="HXP266" s="651"/>
      <c r="HXQ266" s="691"/>
      <c r="HXR266" s="651"/>
      <c r="HXS266" s="691"/>
      <c r="HXT266" s="651"/>
      <c r="HXU266" s="691"/>
      <c r="HXV266" s="651"/>
      <c r="HXW266" s="691"/>
      <c r="HXX266" s="651"/>
      <c r="HXY266" s="691"/>
      <c r="HXZ266" s="651"/>
      <c r="HYA266" s="691"/>
      <c r="HYB266" s="651"/>
      <c r="HYC266" s="691"/>
      <c r="HYD266" s="651"/>
      <c r="HYE266" s="691"/>
      <c r="HYF266" s="651"/>
      <c r="HYG266" s="691"/>
      <c r="HYH266" s="651"/>
      <c r="HYI266" s="691"/>
      <c r="HYJ266" s="651"/>
      <c r="HYK266" s="691"/>
      <c r="HYL266" s="651"/>
      <c r="HYM266" s="691"/>
      <c r="HYN266" s="651"/>
      <c r="HYO266" s="691"/>
      <c r="HYP266" s="651"/>
      <c r="HYQ266" s="691"/>
      <c r="HYR266" s="651"/>
      <c r="HYS266" s="691"/>
      <c r="HYT266" s="651"/>
      <c r="HYU266" s="691"/>
      <c r="HYV266" s="651"/>
      <c r="HYW266" s="691"/>
      <c r="HYX266" s="651"/>
      <c r="HYY266" s="691"/>
      <c r="HYZ266" s="651"/>
      <c r="HZA266" s="691"/>
      <c r="HZB266" s="651"/>
      <c r="HZC266" s="691"/>
      <c r="HZD266" s="651"/>
      <c r="HZE266" s="691"/>
      <c r="HZF266" s="651"/>
      <c r="HZG266" s="691"/>
      <c r="HZH266" s="651"/>
      <c r="HZI266" s="691"/>
      <c r="HZJ266" s="651"/>
      <c r="HZK266" s="691"/>
      <c r="HZL266" s="651"/>
      <c r="HZM266" s="691"/>
      <c r="HZN266" s="651"/>
      <c r="HZO266" s="691"/>
      <c r="HZP266" s="651"/>
      <c r="HZQ266" s="691"/>
      <c r="HZR266" s="651"/>
      <c r="HZS266" s="691"/>
      <c r="HZT266" s="651"/>
      <c r="HZU266" s="691"/>
      <c r="HZV266" s="651"/>
      <c r="HZW266" s="691"/>
      <c r="HZX266" s="651"/>
      <c r="HZY266" s="691"/>
      <c r="HZZ266" s="651"/>
      <c r="IAA266" s="691"/>
      <c r="IAB266" s="651"/>
      <c r="IAC266" s="691"/>
      <c r="IAD266" s="651"/>
      <c r="IAE266" s="691"/>
      <c r="IAF266" s="651"/>
      <c r="IAG266" s="691"/>
      <c r="IAH266" s="651"/>
      <c r="IAI266" s="691"/>
      <c r="IAJ266" s="651"/>
      <c r="IAK266" s="691"/>
      <c r="IAL266" s="651"/>
      <c r="IAM266" s="691"/>
      <c r="IAN266" s="651"/>
      <c r="IAO266" s="691"/>
      <c r="IAP266" s="651"/>
      <c r="IAQ266" s="691"/>
      <c r="IAR266" s="651"/>
      <c r="IAS266" s="691"/>
      <c r="IAT266" s="651"/>
      <c r="IAU266" s="691"/>
      <c r="IAV266" s="651"/>
      <c r="IAW266" s="691"/>
      <c r="IAX266" s="651"/>
      <c r="IAY266" s="691"/>
      <c r="IAZ266" s="651"/>
      <c r="IBA266" s="691"/>
      <c r="IBB266" s="651"/>
      <c r="IBC266" s="691"/>
      <c r="IBD266" s="651"/>
      <c r="IBE266" s="691"/>
      <c r="IBF266" s="651"/>
      <c r="IBG266" s="691"/>
      <c r="IBH266" s="651"/>
      <c r="IBI266" s="691"/>
      <c r="IBJ266" s="651"/>
      <c r="IBK266" s="691"/>
      <c r="IBL266" s="651"/>
      <c r="IBM266" s="691"/>
      <c r="IBN266" s="651"/>
      <c r="IBO266" s="691"/>
      <c r="IBP266" s="651"/>
      <c r="IBQ266" s="691"/>
      <c r="IBR266" s="651"/>
      <c r="IBS266" s="691"/>
      <c r="IBT266" s="651"/>
      <c r="IBU266" s="691"/>
      <c r="IBV266" s="651"/>
      <c r="IBW266" s="691"/>
      <c r="IBX266" s="651"/>
      <c r="IBY266" s="691"/>
      <c r="IBZ266" s="651"/>
      <c r="ICA266" s="691"/>
      <c r="ICB266" s="651"/>
      <c r="ICC266" s="691"/>
      <c r="ICD266" s="651"/>
      <c r="ICE266" s="691"/>
      <c r="ICF266" s="651"/>
      <c r="ICG266" s="691"/>
      <c r="ICH266" s="651"/>
      <c r="ICI266" s="691"/>
      <c r="ICJ266" s="651"/>
      <c r="ICK266" s="691"/>
      <c r="ICL266" s="651"/>
      <c r="ICM266" s="691"/>
      <c r="ICN266" s="651"/>
      <c r="ICO266" s="691"/>
      <c r="ICP266" s="651"/>
      <c r="ICQ266" s="691"/>
      <c r="ICR266" s="651"/>
      <c r="ICS266" s="691"/>
      <c r="ICT266" s="651"/>
      <c r="ICU266" s="691"/>
      <c r="ICV266" s="651"/>
      <c r="ICW266" s="691"/>
      <c r="ICX266" s="651"/>
      <c r="ICY266" s="691"/>
      <c r="ICZ266" s="651"/>
      <c r="IDA266" s="691"/>
      <c r="IDB266" s="651"/>
      <c r="IDC266" s="691"/>
      <c r="IDD266" s="651"/>
      <c r="IDE266" s="691"/>
      <c r="IDF266" s="651"/>
      <c r="IDG266" s="691"/>
      <c r="IDH266" s="651"/>
      <c r="IDI266" s="691"/>
      <c r="IDJ266" s="651"/>
      <c r="IDK266" s="691"/>
      <c r="IDL266" s="651"/>
      <c r="IDM266" s="691"/>
      <c r="IDN266" s="651"/>
      <c r="IDO266" s="691"/>
      <c r="IDP266" s="651"/>
      <c r="IDQ266" s="691"/>
      <c r="IDR266" s="651"/>
      <c r="IDS266" s="691"/>
      <c r="IDT266" s="651"/>
      <c r="IDU266" s="691"/>
      <c r="IDV266" s="651"/>
      <c r="IDW266" s="691"/>
      <c r="IDX266" s="651"/>
      <c r="IDY266" s="691"/>
      <c r="IDZ266" s="651"/>
      <c r="IEA266" s="691"/>
      <c r="IEB266" s="651"/>
      <c r="IEC266" s="691"/>
      <c r="IED266" s="651"/>
      <c r="IEE266" s="691"/>
      <c r="IEF266" s="651"/>
      <c r="IEG266" s="691"/>
      <c r="IEH266" s="651"/>
      <c r="IEI266" s="691"/>
      <c r="IEJ266" s="651"/>
      <c r="IEK266" s="691"/>
      <c r="IEL266" s="651"/>
      <c r="IEM266" s="691"/>
      <c r="IEN266" s="651"/>
      <c r="IEO266" s="691"/>
      <c r="IEP266" s="651"/>
      <c r="IEQ266" s="691"/>
      <c r="IER266" s="651"/>
      <c r="IES266" s="691"/>
      <c r="IET266" s="651"/>
      <c r="IEU266" s="691"/>
      <c r="IEV266" s="651"/>
      <c r="IEW266" s="691"/>
      <c r="IEX266" s="651"/>
      <c r="IEY266" s="691"/>
      <c r="IEZ266" s="651"/>
      <c r="IFA266" s="691"/>
      <c r="IFB266" s="651"/>
      <c r="IFC266" s="691"/>
      <c r="IFD266" s="651"/>
      <c r="IFE266" s="691"/>
      <c r="IFF266" s="651"/>
      <c r="IFG266" s="691"/>
      <c r="IFH266" s="651"/>
      <c r="IFI266" s="691"/>
      <c r="IFJ266" s="651"/>
      <c r="IFK266" s="691"/>
      <c r="IFL266" s="651"/>
      <c r="IFM266" s="691"/>
      <c r="IFN266" s="651"/>
      <c r="IFO266" s="691"/>
      <c r="IFP266" s="651"/>
      <c r="IFQ266" s="691"/>
      <c r="IFR266" s="651"/>
      <c r="IFS266" s="691"/>
      <c r="IFT266" s="651"/>
      <c r="IFU266" s="691"/>
      <c r="IFV266" s="651"/>
      <c r="IFW266" s="691"/>
      <c r="IFX266" s="651"/>
      <c r="IFY266" s="691"/>
      <c r="IFZ266" s="651"/>
      <c r="IGA266" s="691"/>
      <c r="IGB266" s="651"/>
      <c r="IGC266" s="691"/>
      <c r="IGD266" s="651"/>
      <c r="IGE266" s="691"/>
      <c r="IGF266" s="651"/>
      <c r="IGG266" s="691"/>
      <c r="IGH266" s="651"/>
      <c r="IGI266" s="691"/>
      <c r="IGJ266" s="651"/>
      <c r="IGK266" s="691"/>
      <c r="IGL266" s="651"/>
      <c r="IGM266" s="691"/>
      <c r="IGN266" s="651"/>
      <c r="IGO266" s="691"/>
      <c r="IGP266" s="651"/>
      <c r="IGQ266" s="691"/>
      <c r="IGR266" s="651"/>
      <c r="IGS266" s="691"/>
      <c r="IGT266" s="651"/>
      <c r="IGU266" s="691"/>
      <c r="IGV266" s="651"/>
      <c r="IGW266" s="691"/>
      <c r="IGX266" s="651"/>
      <c r="IGY266" s="691"/>
      <c r="IGZ266" s="651"/>
      <c r="IHA266" s="691"/>
      <c r="IHB266" s="651"/>
      <c r="IHC266" s="691"/>
      <c r="IHD266" s="651"/>
      <c r="IHE266" s="691"/>
      <c r="IHF266" s="651"/>
      <c r="IHG266" s="691"/>
      <c r="IHH266" s="651"/>
      <c r="IHI266" s="691"/>
      <c r="IHJ266" s="651"/>
      <c r="IHK266" s="691"/>
      <c r="IHL266" s="651"/>
      <c r="IHM266" s="691"/>
      <c r="IHN266" s="651"/>
      <c r="IHO266" s="691"/>
      <c r="IHP266" s="651"/>
      <c r="IHQ266" s="691"/>
      <c r="IHR266" s="651"/>
      <c r="IHS266" s="691"/>
      <c r="IHT266" s="651"/>
      <c r="IHU266" s="691"/>
      <c r="IHV266" s="651"/>
      <c r="IHW266" s="691"/>
      <c r="IHX266" s="651"/>
      <c r="IHY266" s="691"/>
      <c r="IHZ266" s="651"/>
      <c r="IIA266" s="691"/>
      <c r="IIB266" s="651"/>
      <c r="IIC266" s="691"/>
      <c r="IID266" s="651"/>
      <c r="IIE266" s="691"/>
      <c r="IIF266" s="651"/>
      <c r="IIG266" s="691"/>
      <c r="IIH266" s="651"/>
      <c r="III266" s="691"/>
      <c r="IIJ266" s="651"/>
      <c r="IIK266" s="691"/>
      <c r="IIL266" s="651"/>
      <c r="IIM266" s="691"/>
      <c r="IIN266" s="651"/>
      <c r="IIO266" s="691"/>
      <c r="IIP266" s="651"/>
      <c r="IIQ266" s="691"/>
      <c r="IIR266" s="651"/>
      <c r="IIS266" s="691"/>
      <c r="IIT266" s="651"/>
      <c r="IIU266" s="691"/>
      <c r="IIV266" s="651"/>
      <c r="IIW266" s="691"/>
      <c r="IIX266" s="651"/>
      <c r="IIY266" s="691"/>
      <c r="IIZ266" s="651"/>
      <c r="IJA266" s="691"/>
      <c r="IJB266" s="651"/>
      <c r="IJC266" s="691"/>
      <c r="IJD266" s="651"/>
      <c r="IJE266" s="691"/>
      <c r="IJF266" s="651"/>
      <c r="IJG266" s="691"/>
      <c r="IJH266" s="651"/>
      <c r="IJI266" s="691"/>
      <c r="IJJ266" s="651"/>
      <c r="IJK266" s="691"/>
      <c r="IJL266" s="651"/>
      <c r="IJM266" s="691"/>
      <c r="IJN266" s="651"/>
      <c r="IJO266" s="691"/>
      <c r="IJP266" s="651"/>
      <c r="IJQ266" s="691"/>
      <c r="IJR266" s="651"/>
      <c r="IJS266" s="691"/>
      <c r="IJT266" s="651"/>
      <c r="IJU266" s="691"/>
      <c r="IJV266" s="651"/>
      <c r="IJW266" s="691"/>
      <c r="IJX266" s="651"/>
      <c r="IJY266" s="691"/>
      <c r="IJZ266" s="651"/>
      <c r="IKA266" s="691"/>
      <c r="IKB266" s="651"/>
      <c r="IKC266" s="691"/>
      <c r="IKD266" s="651"/>
      <c r="IKE266" s="691"/>
      <c r="IKF266" s="651"/>
      <c r="IKG266" s="691"/>
      <c r="IKH266" s="651"/>
      <c r="IKI266" s="691"/>
      <c r="IKJ266" s="651"/>
      <c r="IKK266" s="691"/>
      <c r="IKL266" s="651"/>
      <c r="IKM266" s="691"/>
      <c r="IKN266" s="651"/>
      <c r="IKO266" s="691"/>
      <c r="IKP266" s="651"/>
      <c r="IKQ266" s="691"/>
      <c r="IKR266" s="651"/>
      <c r="IKS266" s="691"/>
      <c r="IKT266" s="651"/>
      <c r="IKU266" s="691"/>
      <c r="IKV266" s="651"/>
      <c r="IKW266" s="691"/>
      <c r="IKX266" s="651"/>
      <c r="IKY266" s="691"/>
      <c r="IKZ266" s="651"/>
      <c r="ILA266" s="691"/>
      <c r="ILB266" s="651"/>
      <c r="ILC266" s="691"/>
      <c r="ILD266" s="651"/>
      <c r="ILE266" s="691"/>
      <c r="ILF266" s="651"/>
      <c r="ILG266" s="691"/>
      <c r="ILH266" s="651"/>
      <c r="ILI266" s="691"/>
      <c r="ILJ266" s="651"/>
      <c r="ILK266" s="691"/>
      <c r="ILL266" s="651"/>
      <c r="ILM266" s="691"/>
      <c r="ILN266" s="651"/>
      <c r="ILO266" s="691"/>
      <c r="ILP266" s="651"/>
      <c r="ILQ266" s="691"/>
      <c r="ILR266" s="651"/>
      <c r="ILS266" s="691"/>
      <c r="ILT266" s="651"/>
      <c r="ILU266" s="691"/>
      <c r="ILV266" s="651"/>
      <c r="ILW266" s="691"/>
      <c r="ILX266" s="651"/>
      <c r="ILY266" s="691"/>
      <c r="ILZ266" s="651"/>
      <c r="IMA266" s="691"/>
      <c r="IMB266" s="651"/>
      <c r="IMC266" s="691"/>
      <c r="IMD266" s="651"/>
      <c r="IME266" s="691"/>
      <c r="IMF266" s="651"/>
      <c r="IMG266" s="691"/>
      <c r="IMH266" s="651"/>
      <c r="IMI266" s="691"/>
      <c r="IMJ266" s="651"/>
      <c r="IMK266" s="691"/>
      <c r="IML266" s="651"/>
      <c r="IMM266" s="691"/>
      <c r="IMN266" s="651"/>
      <c r="IMO266" s="691"/>
      <c r="IMP266" s="651"/>
      <c r="IMQ266" s="691"/>
      <c r="IMR266" s="651"/>
      <c r="IMS266" s="691"/>
      <c r="IMT266" s="651"/>
      <c r="IMU266" s="691"/>
      <c r="IMV266" s="651"/>
      <c r="IMW266" s="691"/>
      <c r="IMX266" s="651"/>
      <c r="IMY266" s="691"/>
      <c r="IMZ266" s="651"/>
      <c r="INA266" s="691"/>
      <c r="INB266" s="651"/>
      <c r="INC266" s="691"/>
      <c r="IND266" s="651"/>
      <c r="INE266" s="691"/>
      <c r="INF266" s="651"/>
      <c r="ING266" s="691"/>
      <c r="INH266" s="651"/>
      <c r="INI266" s="691"/>
      <c r="INJ266" s="651"/>
      <c r="INK266" s="691"/>
      <c r="INL266" s="651"/>
      <c r="INM266" s="691"/>
      <c r="INN266" s="651"/>
      <c r="INO266" s="691"/>
      <c r="INP266" s="651"/>
      <c r="INQ266" s="691"/>
      <c r="INR266" s="651"/>
      <c r="INS266" s="691"/>
      <c r="INT266" s="651"/>
      <c r="INU266" s="691"/>
      <c r="INV266" s="651"/>
      <c r="INW266" s="691"/>
      <c r="INX266" s="651"/>
      <c r="INY266" s="691"/>
      <c r="INZ266" s="651"/>
      <c r="IOA266" s="691"/>
      <c r="IOB266" s="651"/>
      <c r="IOC266" s="691"/>
      <c r="IOD266" s="651"/>
      <c r="IOE266" s="691"/>
      <c r="IOF266" s="651"/>
      <c r="IOG266" s="691"/>
      <c r="IOH266" s="651"/>
      <c r="IOI266" s="691"/>
      <c r="IOJ266" s="651"/>
      <c r="IOK266" s="691"/>
      <c r="IOL266" s="651"/>
      <c r="IOM266" s="691"/>
      <c r="ION266" s="651"/>
      <c r="IOO266" s="691"/>
      <c r="IOP266" s="651"/>
      <c r="IOQ266" s="691"/>
      <c r="IOR266" s="651"/>
      <c r="IOS266" s="691"/>
      <c r="IOT266" s="651"/>
      <c r="IOU266" s="691"/>
      <c r="IOV266" s="651"/>
      <c r="IOW266" s="691"/>
      <c r="IOX266" s="651"/>
      <c r="IOY266" s="691"/>
      <c r="IOZ266" s="651"/>
      <c r="IPA266" s="691"/>
      <c r="IPB266" s="651"/>
      <c r="IPC266" s="691"/>
      <c r="IPD266" s="651"/>
      <c r="IPE266" s="691"/>
      <c r="IPF266" s="651"/>
      <c r="IPG266" s="691"/>
      <c r="IPH266" s="651"/>
      <c r="IPI266" s="691"/>
      <c r="IPJ266" s="651"/>
      <c r="IPK266" s="691"/>
      <c r="IPL266" s="651"/>
      <c r="IPM266" s="691"/>
      <c r="IPN266" s="651"/>
      <c r="IPO266" s="691"/>
      <c r="IPP266" s="651"/>
      <c r="IPQ266" s="691"/>
      <c r="IPR266" s="651"/>
      <c r="IPS266" s="691"/>
      <c r="IPT266" s="651"/>
      <c r="IPU266" s="691"/>
      <c r="IPV266" s="651"/>
      <c r="IPW266" s="691"/>
      <c r="IPX266" s="651"/>
      <c r="IPY266" s="691"/>
      <c r="IPZ266" s="651"/>
      <c r="IQA266" s="691"/>
      <c r="IQB266" s="651"/>
      <c r="IQC266" s="691"/>
      <c r="IQD266" s="651"/>
      <c r="IQE266" s="691"/>
      <c r="IQF266" s="651"/>
      <c r="IQG266" s="691"/>
      <c r="IQH266" s="651"/>
      <c r="IQI266" s="691"/>
      <c r="IQJ266" s="651"/>
      <c r="IQK266" s="691"/>
      <c r="IQL266" s="651"/>
      <c r="IQM266" s="691"/>
      <c r="IQN266" s="651"/>
      <c r="IQO266" s="691"/>
      <c r="IQP266" s="651"/>
      <c r="IQQ266" s="691"/>
      <c r="IQR266" s="651"/>
      <c r="IQS266" s="691"/>
      <c r="IQT266" s="651"/>
      <c r="IQU266" s="691"/>
      <c r="IQV266" s="651"/>
      <c r="IQW266" s="691"/>
      <c r="IQX266" s="651"/>
      <c r="IQY266" s="691"/>
      <c r="IQZ266" s="651"/>
      <c r="IRA266" s="691"/>
      <c r="IRB266" s="651"/>
      <c r="IRC266" s="691"/>
      <c r="IRD266" s="651"/>
      <c r="IRE266" s="691"/>
      <c r="IRF266" s="651"/>
      <c r="IRG266" s="691"/>
      <c r="IRH266" s="651"/>
      <c r="IRI266" s="691"/>
      <c r="IRJ266" s="651"/>
      <c r="IRK266" s="691"/>
      <c r="IRL266" s="651"/>
      <c r="IRM266" s="691"/>
      <c r="IRN266" s="651"/>
      <c r="IRO266" s="691"/>
      <c r="IRP266" s="651"/>
      <c r="IRQ266" s="691"/>
      <c r="IRR266" s="651"/>
      <c r="IRS266" s="691"/>
      <c r="IRT266" s="651"/>
      <c r="IRU266" s="691"/>
      <c r="IRV266" s="651"/>
      <c r="IRW266" s="691"/>
      <c r="IRX266" s="651"/>
      <c r="IRY266" s="691"/>
      <c r="IRZ266" s="651"/>
      <c r="ISA266" s="691"/>
      <c r="ISB266" s="651"/>
      <c r="ISC266" s="691"/>
      <c r="ISD266" s="651"/>
      <c r="ISE266" s="691"/>
      <c r="ISF266" s="651"/>
      <c r="ISG266" s="691"/>
      <c r="ISH266" s="651"/>
      <c r="ISI266" s="691"/>
      <c r="ISJ266" s="651"/>
      <c r="ISK266" s="691"/>
      <c r="ISL266" s="651"/>
      <c r="ISM266" s="691"/>
      <c r="ISN266" s="651"/>
      <c r="ISO266" s="691"/>
      <c r="ISP266" s="651"/>
      <c r="ISQ266" s="691"/>
      <c r="ISR266" s="651"/>
      <c r="ISS266" s="691"/>
      <c r="IST266" s="651"/>
      <c r="ISU266" s="691"/>
      <c r="ISV266" s="651"/>
      <c r="ISW266" s="691"/>
      <c r="ISX266" s="651"/>
      <c r="ISY266" s="691"/>
      <c r="ISZ266" s="651"/>
      <c r="ITA266" s="691"/>
      <c r="ITB266" s="651"/>
      <c r="ITC266" s="691"/>
      <c r="ITD266" s="651"/>
      <c r="ITE266" s="691"/>
      <c r="ITF266" s="651"/>
      <c r="ITG266" s="691"/>
      <c r="ITH266" s="651"/>
      <c r="ITI266" s="691"/>
      <c r="ITJ266" s="651"/>
      <c r="ITK266" s="691"/>
      <c r="ITL266" s="651"/>
      <c r="ITM266" s="691"/>
      <c r="ITN266" s="651"/>
      <c r="ITO266" s="691"/>
      <c r="ITP266" s="651"/>
      <c r="ITQ266" s="691"/>
      <c r="ITR266" s="651"/>
      <c r="ITS266" s="691"/>
      <c r="ITT266" s="651"/>
      <c r="ITU266" s="691"/>
      <c r="ITV266" s="651"/>
      <c r="ITW266" s="691"/>
      <c r="ITX266" s="651"/>
      <c r="ITY266" s="691"/>
      <c r="ITZ266" s="651"/>
      <c r="IUA266" s="691"/>
      <c r="IUB266" s="651"/>
      <c r="IUC266" s="691"/>
      <c r="IUD266" s="651"/>
      <c r="IUE266" s="691"/>
      <c r="IUF266" s="651"/>
      <c r="IUG266" s="691"/>
      <c r="IUH266" s="651"/>
      <c r="IUI266" s="691"/>
      <c r="IUJ266" s="651"/>
      <c r="IUK266" s="691"/>
      <c r="IUL266" s="651"/>
      <c r="IUM266" s="691"/>
      <c r="IUN266" s="651"/>
      <c r="IUO266" s="691"/>
      <c r="IUP266" s="651"/>
      <c r="IUQ266" s="691"/>
      <c r="IUR266" s="651"/>
      <c r="IUS266" s="691"/>
      <c r="IUT266" s="651"/>
      <c r="IUU266" s="691"/>
      <c r="IUV266" s="651"/>
      <c r="IUW266" s="691"/>
      <c r="IUX266" s="651"/>
      <c r="IUY266" s="691"/>
      <c r="IUZ266" s="651"/>
      <c r="IVA266" s="691"/>
      <c r="IVB266" s="651"/>
      <c r="IVC266" s="691"/>
      <c r="IVD266" s="651"/>
      <c r="IVE266" s="691"/>
      <c r="IVF266" s="651"/>
      <c r="IVG266" s="691"/>
      <c r="IVH266" s="651"/>
      <c r="IVI266" s="691"/>
      <c r="IVJ266" s="651"/>
      <c r="IVK266" s="691"/>
      <c r="IVL266" s="651"/>
      <c r="IVM266" s="691"/>
      <c r="IVN266" s="651"/>
      <c r="IVO266" s="691"/>
      <c r="IVP266" s="651"/>
      <c r="IVQ266" s="691"/>
      <c r="IVR266" s="651"/>
      <c r="IVS266" s="691"/>
      <c r="IVT266" s="651"/>
      <c r="IVU266" s="691"/>
      <c r="IVV266" s="651"/>
      <c r="IVW266" s="691"/>
      <c r="IVX266" s="651"/>
      <c r="IVY266" s="691"/>
      <c r="IVZ266" s="651"/>
      <c r="IWA266" s="691"/>
      <c r="IWB266" s="651"/>
      <c r="IWC266" s="691"/>
      <c r="IWD266" s="651"/>
      <c r="IWE266" s="691"/>
      <c r="IWF266" s="651"/>
      <c r="IWG266" s="691"/>
      <c r="IWH266" s="651"/>
      <c r="IWI266" s="691"/>
      <c r="IWJ266" s="651"/>
      <c r="IWK266" s="691"/>
      <c r="IWL266" s="651"/>
      <c r="IWM266" s="691"/>
      <c r="IWN266" s="651"/>
      <c r="IWO266" s="691"/>
      <c r="IWP266" s="651"/>
      <c r="IWQ266" s="691"/>
      <c r="IWR266" s="651"/>
      <c r="IWS266" s="691"/>
      <c r="IWT266" s="651"/>
      <c r="IWU266" s="691"/>
      <c r="IWV266" s="651"/>
      <c r="IWW266" s="691"/>
      <c r="IWX266" s="651"/>
      <c r="IWY266" s="691"/>
      <c r="IWZ266" s="651"/>
      <c r="IXA266" s="691"/>
      <c r="IXB266" s="651"/>
      <c r="IXC266" s="691"/>
      <c r="IXD266" s="651"/>
      <c r="IXE266" s="691"/>
      <c r="IXF266" s="651"/>
      <c r="IXG266" s="691"/>
      <c r="IXH266" s="651"/>
      <c r="IXI266" s="691"/>
      <c r="IXJ266" s="651"/>
      <c r="IXK266" s="691"/>
      <c r="IXL266" s="651"/>
      <c r="IXM266" s="691"/>
      <c r="IXN266" s="651"/>
      <c r="IXO266" s="691"/>
      <c r="IXP266" s="651"/>
      <c r="IXQ266" s="691"/>
      <c r="IXR266" s="651"/>
      <c r="IXS266" s="691"/>
      <c r="IXT266" s="651"/>
      <c r="IXU266" s="691"/>
      <c r="IXV266" s="651"/>
      <c r="IXW266" s="691"/>
      <c r="IXX266" s="651"/>
      <c r="IXY266" s="691"/>
      <c r="IXZ266" s="651"/>
      <c r="IYA266" s="691"/>
      <c r="IYB266" s="651"/>
      <c r="IYC266" s="691"/>
      <c r="IYD266" s="651"/>
      <c r="IYE266" s="691"/>
      <c r="IYF266" s="651"/>
      <c r="IYG266" s="691"/>
      <c r="IYH266" s="651"/>
      <c r="IYI266" s="691"/>
      <c r="IYJ266" s="651"/>
      <c r="IYK266" s="691"/>
      <c r="IYL266" s="651"/>
      <c r="IYM266" s="691"/>
      <c r="IYN266" s="651"/>
      <c r="IYO266" s="691"/>
      <c r="IYP266" s="651"/>
      <c r="IYQ266" s="691"/>
      <c r="IYR266" s="651"/>
      <c r="IYS266" s="691"/>
      <c r="IYT266" s="651"/>
      <c r="IYU266" s="691"/>
      <c r="IYV266" s="651"/>
      <c r="IYW266" s="691"/>
      <c r="IYX266" s="651"/>
      <c r="IYY266" s="691"/>
      <c r="IYZ266" s="651"/>
      <c r="IZA266" s="691"/>
      <c r="IZB266" s="651"/>
      <c r="IZC266" s="691"/>
      <c r="IZD266" s="651"/>
      <c r="IZE266" s="691"/>
      <c r="IZF266" s="651"/>
      <c r="IZG266" s="691"/>
      <c r="IZH266" s="651"/>
      <c r="IZI266" s="691"/>
      <c r="IZJ266" s="651"/>
      <c r="IZK266" s="691"/>
      <c r="IZL266" s="651"/>
      <c r="IZM266" s="691"/>
      <c r="IZN266" s="651"/>
      <c r="IZO266" s="691"/>
      <c r="IZP266" s="651"/>
      <c r="IZQ266" s="691"/>
      <c r="IZR266" s="651"/>
      <c r="IZS266" s="691"/>
      <c r="IZT266" s="651"/>
      <c r="IZU266" s="691"/>
      <c r="IZV266" s="651"/>
      <c r="IZW266" s="691"/>
      <c r="IZX266" s="651"/>
      <c r="IZY266" s="691"/>
      <c r="IZZ266" s="651"/>
      <c r="JAA266" s="691"/>
      <c r="JAB266" s="651"/>
      <c r="JAC266" s="691"/>
      <c r="JAD266" s="651"/>
      <c r="JAE266" s="691"/>
      <c r="JAF266" s="651"/>
      <c r="JAG266" s="691"/>
      <c r="JAH266" s="651"/>
      <c r="JAI266" s="691"/>
      <c r="JAJ266" s="651"/>
      <c r="JAK266" s="691"/>
      <c r="JAL266" s="651"/>
      <c r="JAM266" s="691"/>
      <c r="JAN266" s="651"/>
      <c r="JAO266" s="691"/>
      <c r="JAP266" s="651"/>
      <c r="JAQ266" s="691"/>
      <c r="JAR266" s="651"/>
      <c r="JAS266" s="691"/>
      <c r="JAT266" s="651"/>
      <c r="JAU266" s="691"/>
      <c r="JAV266" s="651"/>
      <c r="JAW266" s="691"/>
      <c r="JAX266" s="651"/>
      <c r="JAY266" s="691"/>
      <c r="JAZ266" s="651"/>
      <c r="JBA266" s="691"/>
      <c r="JBB266" s="651"/>
      <c r="JBC266" s="691"/>
      <c r="JBD266" s="651"/>
      <c r="JBE266" s="691"/>
      <c r="JBF266" s="651"/>
      <c r="JBG266" s="691"/>
      <c r="JBH266" s="651"/>
      <c r="JBI266" s="691"/>
      <c r="JBJ266" s="651"/>
      <c r="JBK266" s="691"/>
      <c r="JBL266" s="651"/>
      <c r="JBM266" s="691"/>
      <c r="JBN266" s="651"/>
      <c r="JBO266" s="691"/>
      <c r="JBP266" s="651"/>
      <c r="JBQ266" s="691"/>
      <c r="JBR266" s="651"/>
      <c r="JBS266" s="691"/>
      <c r="JBT266" s="651"/>
      <c r="JBU266" s="691"/>
      <c r="JBV266" s="651"/>
      <c r="JBW266" s="691"/>
      <c r="JBX266" s="651"/>
      <c r="JBY266" s="691"/>
      <c r="JBZ266" s="651"/>
      <c r="JCA266" s="691"/>
      <c r="JCB266" s="651"/>
      <c r="JCC266" s="691"/>
      <c r="JCD266" s="651"/>
      <c r="JCE266" s="691"/>
      <c r="JCF266" s="651"/>
      <c r="JCG266" s="691"/>
      <c r="JCH266" s="651"/>
      <c r="JCI266" s="691"/>
      <c r="JCJ266" s="651"/>
      <c r="JCK266" s="691"/>
      <c r="JCL266" s="651"/>
      <c r="JCM266" s="691"/>
      <c r="JCN266" s="651"/>
      <c r="JCO266" s="691"/>
      <c r="JCP266" s="651"/>
      <c r="JCQ266" s="691"/>
      <c r="JCR266" s="651"/>
      <c r="JCS266" s="691"/>
      <c r="JCT266" s="651"/>
      <c r="JCU266" s="691"/>
      <c r="JCV266" s="651"/>
      <c r="JCW266" s="691"/>
      <c r="JCX266" s="651"/>
      <c r="JCY266" s="691"/>
      <c r="JCZ266" s="651"/>
      <c r="JDA266" s="691"/>
      <c r="JDB266" s="651"/>
      <c r="JDC266" s="691"/>
      <c r="JDD266" s="651"/>
      <c r="JDE266" s="691"/>
      <c r="JDF266" s="651"/>
      <c r="JDG266" s="691"/>
      <c r="JDH266" s="651"/>
      <c r="JDI266" s="691"/>
      <c r="JDJ266" s="651"/>
      <c r="JDK266" s="691"/>
      <c r="JDL266" s="651"/>
      <c r="JDM266" s="691"/>
      <c r="JDN266" s="651"/>
      <c r="JDO266" s="691"/>
      <c r="JDP266" s="651"/>
      <c r="JDQ266" s="691"/>
      <c r="JDR266" s="651"/>
      <c r="JDS266" s="691"/>
      <c r="JDT266" s="651"/>
      <c r="JDU266" s="691"/>
      <c r="JDV266" s="651"/>
      <c r="JDW266" s="691"/>
      <c r="JDX266" s="651"/>
      <c r="JDY266" s="691"/>
      <c r="JDZ266" s="651"/>
      <c r="JEA266" s="691"/>
      <c r="JEB266" s="651"/>
      <c r="JEC266" s="691"/>
      <c r="JED266" s="651"/>
      <c r="JEE266" s="691"/>
      <c r="JEF266" s="651"/>
      <c r="JEG266" s="691"/>
      <c r="JEH266" s="651"/>
      <c r="JEI266" s="691"/>
      <c r="JEJ266" s="651"/>
      <c r="JEK266" s="691"/>
      <c r="JEL266" s="651"/>
      <c r="JEM266" s="691"/>
      <c r="JEN266" s="651"/>
      <c r="JEO266" s="691"/>
      <c r="JEP266" s="651"/>
      <c r="JEQ266" s="691"/>
      <c r="JER266" s="651"/>
      <c r="JES266" s="691"/>
      <c r="JET266" s="651"/>
      <c r="JEU266" s="691"/>
      <c r="JEV266" s="651"/>
      <c r="JEW266" s="691"/>
      <c r="JEX266" s="651"/>
      <c r="JEY266" s="691"/>
      <c r="JEZ266" s="651"/>
      <c r="JFA266" s="691"/>
      <c r="JFB266" s="651"/>
      <c r="JFC266" s="691"/>
      <c r="JFD266" s="651"/>
      <c r="JFE266" s="691"/>
      <c r="JFF266" s="651"/>
      <c r="JFG266" s="691"/>
      <c r="JFH266" s="651"/>
      <c r="JFI266" s="691"/>
      <c r="JFJ266" s="651"/>
      <c r="JFK266" s="691"/>
      <c r="JFL266" s="651"/>
      <c r="JFM266" s="691"/>
      <c r="JFN266" s="651"/>
      <c r="JFO266" s="691"/>
      <c r="JFP266" s="651"/>
      <c r="JFQ266" s="691"/>
      <c r="JFR266" s="651"/>
      <c r="JFS266" s="691"/>
      <c r="JFT266" s="651"/>
      <c r="JFU266" s="691"/>
      <c r="JFV266" s="651"/>
      <c r="JFW266" s="691"/>
      <c r="JFX266" s="651"/>
      <c r="JFY266" s="691"/>
      <c r="JFZ266" s="651"/>
      <c r="JGA266" s="691"/>
      <c r="JGB266" s="651"/>
      <c r="JGC266" s="691"/>
      <c r="JGD266" s="651"/>
      <c r="JGE266" s="691"/>
      <c r="JGF266" s="651"/>
      <c r="JGG266" s="691"/>
      <c r="JGH266" s="651"/>
      <c r="JGI266" s="691"/>
      <c r="JGJ266" s="651"/>
      <c r="JGK266" s="691"/>
      <c r="JGL266" s="651"/>
      <c r="JGM266" s="691"/>
      <c r="JGN266" s="651"/>
      <c r="JGO266" s="691"/>
      <c r="JGP266" s="651"/>
      <c r="JGQ266" s="691"/>
      <c r="JGR266" s="651"/>
      <c r="JGS266" s="691"/>
      <c r="JGT266" s="651"/>
      <c r="JGU266" s="691"/>
      <c r="JGV266" s="651"/>
      <c r="JGW266" s="691"/>
      <c r="JGX266" s="651"/>
      <c r="JGY266" s="691"/>
      <c r="JGZ266" s="651"/>
      <c r="JHA266" s="691"/>
      <c r="JHB266" s="651"/>
      <c r="JHC266" s="691"/>
      <c r="JHD266" s="651"/>
      <c r="JHE266" s="691"/>
      <c r="JHF266" s="651"/>
      <c r="JHG266" s="691"/>
      <c r="JHH266" s="651"/>
      <c r="JHI266" s="691"/>
      <c r="JHJ266" s="651"/>
      <c r="JHK266" s="691"/>
      <c r="JHL266" s="651"/>
      <c r="JHM266" s="691"/>
      <c r="JHN266" s="651"/>
      <c r="JHO266" s="691"/>
      <c r="JHP266" s="651"/>
      <c r="JHQ266" s="691"/>
      <c r="JHR266" s="651"/>
      <c r="JHS266" s="691"/>
      <c r="JHT266" s="651"/>
      <c r="JHU266" s="691"/>
      <c r="JHV266" s="651"/>
      <c r="JHW266" s="691"/>
      <c r="JHX266" s="651"/>
      <c r="JHY266" s="691"/>
      <c r="JHZ266" s="651"/>
      <c r="JIA266" s="691"/>
      <c r="JIB266" s="651"/>
      <c r="JIC266" s="691"/>
      <c r="JID266" s="651"/>
      <c r="JIE266" s="691"/>
      <c r="JIF266" s="651"/>
      <c r="JIG266" s="691"/>
      <c r="JIH266" s="651"/>
      <c r="JII266" s="691"/>
      <c r="JIJ266" s="651"/>
      <c r="JIK266" s="691"/>
      <c r="JIL266" s="651"/>
      <c r="JIM266" s="691"/>
      <c r="JIN266" s="651"/>
      <c r="JIO266" s="691"/>
      <c r="JIP266" s="651"/>
      <c r="JIQ266" s="691"/>
      <c r="JIR266" s="651"/>
      <c r="JIS266" s="691"/>
      <c r="JIT266" s="651"/>
      <c r="JIU266" s="691"/>
      <c r="JIV266" s="651"/>
      <c r="JIW266" s="691"/>
      <c r="JIX266" s="651"/>
      <c r="JIY266" s="691"/>
      <c r="JIZ266" s="651"/>
      <c r="JJA266" s="691"/>
      <c r="JJB266" s="651"/>
      <c r="JJC266" s="691"/>
      <c r="JJD266" s="651"/>
      <c r="JJE266" s="691"/>
      <c r="JJF266" s="651"/>
      <c r="JJG266" s="691"/>
      <c r="JJH266" s="651"/>
      <c r="JJI266" s="691"/>
      <c r="JJJ266" s="651"/>
      <c r="JJK266" s="691"/>
      <c r="JJL266" s="651"/>
      <c r="JJM266" s="691"/>
      <c r="JJN266" s="651"/>
      <c r="JJO266" s="691"/>
      <c r="JJP266" s="651"/>
      <c r="JJQ266" s="691"/>
      <c r="JJR266" s="651"/>
      <c r="JJS266" s="691"/>
      <c r="JJT266" s="651"/>
      <c r="JJU266" s="691"/>
      <c r="JJV266" s="651"/>
      <c r="JJW266" s="691"/>
      <c r="JJX266" s="651"/>
      <c r="JJY266" s="691"/>
      <c r="JJZ266" s="651"/>
      <c r="JKA266" s="691"/>
      <c r="JKB266" s="651"/>
      <c r="JKC266" s="691"/>
      <c r="JKD266" s="651"/>
      <c r="JKE266" s="691"/>
      <c r="JKF266" s="651"/>
      <c r="JKG266" s="691"/>
      <c r="JKH266" s="651"/>
      <c r="JKI266" s="691"/>
      <c r="JKJ266" s="651"/>
      <c r="JKK266" s="691"/>
      <c r="JKL266" s="651"/>
      <c r="JKM266" s="691"/>
      <c r="JKN266" s="651"/>
      <c r="JKO266" s="691"/>
      <c r="JKP266" s="651"/>
      <c r="JKQ266" s="691"/>
      <c r="JKR266" s="651"/>
      <c r="JKS266" s="691"/>
      <c r="JKT266" s="651"/>
      <c r="JKU266" s="691"/>
      <c r="JKV266" s="651"/>
      <c r="JKW266" s="691"/>
      <c r="JKX266" s="651"/>
      <c r="JKY266" s="691"/>
      <c r="JKZ266" s="651"/>
      <c r="JLA266" s="691"/>
      <c r="JLB266" s="651"/>
      <c r="JLC266" s="691"/>
      <c r="JLD266" s="651"/>
      <c r="JLE266" s="691"/>
      <c r="JLF266" s="651"/>
      <c r="JLG266" s="691"/>
      <c r="JLH266" s="651"/>
      <c r="JLI266" s="691"/>
      <c r="JLJ266" s="651"/>
      <c r="JLK266" s="691"/>
      <c r="JLL266" s="651"/>
      <c r="JLM266" s="691"/>
      <c r="JLN266" s="651"/>
      <c r="JLO266" s="691"/>
      <c r="JLP266" s="651"/>
      <c r="JLQ266" s="691"/>
      <c r="JLR266" s="651"/>
      <c r="JLS266" s="691"/>
      <c r="JLT266" s="651"/>
      <c r="JLU266" s="691"/>
      <c r="JLV266" s="651"/>
      <c r="JLW266" s="691"/>
      <c r="JLX266" s="651"/>
      <c r="JLY266" s="691"/>
      <c r="JLZ266" s="651"/>
      <c r="JMA266" s="691"/>
      <c r="JMB266" s="651"/>
      <c r="JMC266" s="691"/>
      <c r="JMD266" s="651"/>
      <c r="JME266" s="691"/>
      <c r="JMF266" s="651"/>
      <c r="JMG266" s="691"/>
      <c r="JMH266" s="651"/>
      <c r="JMI266" s="691"/>
      <c r="JMJ266" s="651"/>
      <c r="JMK266" s="691"/>
      <c r="JML266" s="651"/>
      <c r="JMM266" s="691"/>
      <c r="JMN266" s="651"/>
      <c r="JMO266" s="691"/>
      <c r="JMP266" s="651"/>
      <c r="JMQ266" s="691"/>
      <c r="JMR266" s="651"/>
      <c r="JMS266" s="691"/>
      <c r="JMT266" s="651"/>
      <c r="JMU266" s="691"/>
      <c r="JMV266" s="651"/>
      <c r="JMW266" s="691"/>
      <c r="JMX266" s="651"/>
      <c r="JMY266" s="691"/>
      <c r="JMZ266" s="651"/>
      <c r="JNA266" s="691"/>
      <c r="JNB266" s="651"/>
      <c r="JNC266" s="691"/>
      <c r="JND266" s="651"/>
      <c r="JNE266" s="691"/>
      <c r="JNF266" s="651"/>
      <c r="JNG266" s="691"/>
      <c r="JNH266" s="651"/>
      <c r="JNI266" s="691"/>
      <c r="JNJ266" s="651"/>
      <c r="JNK266" s="691"/>
      <c r="JNL266" s="651"/>
      <c r="JNM266" s="691"/>
      <c r="JNN266" s="651"/>
      <c r="JNO266" s="691"/>
      <c r="JNP266" s="651"/>
      <c r="JNQ266" s="691"/>
      <c r="JNR266" s="651"/>
      <c r="JNS266" s="691"/>
      <c r="JNT266" s="651"/>
      <c r="JNU266" s="691"/>
      <c r="JNV266" s="651"/>
      <c r="JNW266" s="691"/>
      <c r="JNX266" s="651"/>
      <c r="JNY266" s="691"/>
      <c r="JNZ266" s="651"/>
      <c r="JOA266" s="691"/>
      <c r="JOB266" s="651"/>
      <c r="JOC266" s="691"/>
      <c r="JOD266" s="651"/>
      <c r="JOE266" s="691"/>
      <c r="JOF266" s="651"/>
      <c r="JOG266" s="691"/>
      <c r="JOH266" s="651"/>
      <c r="JOI266" s="691"/>
      <c r="JOJ266" s="651"/>
      <c r="JOK266" s="691"/>
      <c r="JOL266" s="651"/>
      <c r="JOM266" s="691"/>
      <c r="JON266" s="651"/>
      <c r="JOO266" s="691"/>
      <c r="JOP266" s="651"/>
      <c r="JOQ266" s="691"/>
      <c r="JOR266" s="651"/>
      <c r="JOS266" s="691"/>
      <c r="JOT266" s="651"/>
      <c r="JOU266" s="691"/>
      <c r="JOV266" s="651"/>
      <c r="JOW266" s="691"/>
      <c r="JOX266" s="651"/>
      <c r="JOY266" s="691"/>
      <c r="JOZ266" s="651"/>
      <c r="JPA266" s="691"/>
      <c r="JPB266" s="651"/>
      <c r="JPC266" s="691"/>
      <c r="JPD266" s="651"/>
      <c r="JPE266" s="691"/>
      <c r="JPF266" s="651"/>
      <c r="JPG266" s="691"/>
      <c r="JPH266" s="651"/>
      <c r="JPI266" s="691"/>
      <c r="JPJ266" s="651"/>
      <c r="JPK266" s="691"/>
      <c r="JPL266" s="651"/>
      <c r="JPM266" s="691"/>
      <c r="JPN266" s="651"/>
      <c r="JPO266" s="691"/>
      <c r="JPP266" s="651"/>
      <c r="JPQ266" s="691"/>
      <c r="JPR266" s="651"/>
      <c r="JPS266" s="691"/>
      <c r="JPT266" s="651"/>
      <c r="JPU266" s="691"/>
      <c r="JPV266" s="651"/>
      <c r="JPW266" s="691"/>
      <c r="JPX266" s="651"/>
      <c r="JPY266" s="691"/>
      <c r="JPZ266" s="651"/>
      <c r="JQA266" s="691"/>
      <c r="JQB266" s="651"/>
      <c r="JQC266" s="691"/>
      <c r="JQD266" s="651"/>
      <c r="JQE266" s="691"/>
      <c r="JQF266" s="651"/>
      <c r="JQG266" s="691"/>
      <c r="JQH266" s="651"/>
      <c r="JQI266" s="691"/>
      <c r="JQJ266" s="651"/>
      <c r="JQK266" s="691"/>
      <c r="JQL266" s="651"/>
      <c r="JQM266" s="691"/>
      <c r="JQN266" s="651"/>
      <c r="JQO266" s="691"/>
      <c r="JQP266" s="651"/>
      <c r="JQQ266" s="691"/>
      <c r="JQR266" s="651"/>
      <c r="JQS266" s="691"/>
      <c r="JQT266" s="651"/>
      <c r="JQU266" s="691"/>
      <c r="JQV266" s="651"/>
      <c r="JQW266" s="691"/>
      <c r="JQX266" s="651"/>
      <c r="JQY266" s="691"/>
      <c r="JQZ266" s="651"/>
      <c r="JRA266" s="691"/>
      <c r="JRB266" s="651"/>
      <c r="JRC266" s="691"/>
      <c r="JRD266" s="651"/>
      <c r="JRE266" s="691"/>
      <c r="JRF266" s="651"/>
      <c r="JRG266" s="691"/>
      <c r="JRH266" s="651"/>
      <c r="JRI266" s="691"/>
      <c r="JRJ266" s="651"/>
      <c r="JRK266" s="691"/>
      <c r="JRL266" s="651"/>
      <c r="JRM266" s="691"/>
      <c r="JRN266" s="651"/>
      <c r="JRO266" s="691"/>
      <c r="JRP266" s="651"/>
      <c r="JRQ266" s="691"/>
      <c r="JRR266" s="651"/>
      <c r="JRS266" s="691"/>
      <c r="JRT266" s="651"/>
      <c r="JRU266" s="691"/>
      <c r="JRV266" s="651"/>
      <c r="JRW266" s="691"/>
      <c r="JRX266" s="651"/>
      <c r="JRY266" s="691"/>
      <c r="JRZ266" s="651"/>
      <c r="JSA266" s="691"/>
      <c r="JSB266" s="651"/>
      <c r="JSC266" s="691"/>
      <c r="JSD266" s="651"/>
      <c r="JSE266" s="691"/>
      <c r="JSF266" s="651"/>
      <c r="JSG266" s="691"/>
      <c r="JSH266" s="651"/>
      <c r="JSI266" s="691"/>
      <c r="JSJ266" s="651"/>
      <c r="JSK266" s="691"/>
      <c r="JSL266" s="651"/>
      <c r="JSM266" s="691"/>
      <c r="JSN266" s="651"/>
      <c r="JSO266" s="691"/>
      <c r="JSP266" s="651"/>
      <c r="JSQ266" s="691"/>
      <c r="JSR266" s="651"/>
      <c r="JSS266" s="691"/>
      <c r="JST266" s="651"/>
      <c r="JSU266" s="691"/>
      <c r="JSV266" s="651"/>
      <c r="JSW266" s="691"/>
      <c r="JSX266" s="651"/>
      <c r="JSY266" s="691"/>
      <c r="JSZ266" s="651"/>
      <c r="JTA266" s="691"/>
      <c r="JTB266" s="651"/>
      <c r="JTC266" s="691"/>
      <c r="JTD266" s="651"/>
      <c r="JTE266" s="691"/>
      <c r="JTF266" s="651"/>
      <c r="JTG266" s="691"/>
      <c r="JTH266" s="651"/>
      <c r="JTI266" s="691"/>
      <c r="JTJ266" s="651"/>
      <c r="JTK266" s="691"/>
      <c r="JTL266" s="651"/>
      <c r="JTM266" s="691"/>
      <c r="JTN266" s="651"/>
      <c r="JTO266" s="691"/>
      <c r="JTP266" s="651"/>
      <c r="JTQ266" s="691"/>
      <c r="JTR266" s="651"/>
      <c r="JTS266" s="691"/>
      <c r="JTT266" s="651"/>
      <c r="JTU266" s="691"/>
      <c r="JTV266" s="651"/>
      <c r="JTW266" s="691"/>
      <c r="JTX266" s="651"/>
      <c r="JTY266" s="691"/>
      <c r="JTZ266" s="651"/>
      <c r="JUA266" s="691"/>
      <c r="JUB266" s="651"/>
      <c r="JUC266" s="691"/>
      <c r="JUD266" s="651"/>
      <c r="JUE266" s="691"/>
      <c r="JUF266" s="651"/>
      <c r="JUG266" s="691"/>
      <c r="JUH266" s="651"/>
      <c r="JUI266" s="691"/>
      <c r="JUJ266" s="651"/>
      <c r="JUK266" s="691"/>
      <c r="JUL266" s="651"/>
      <c r="JUM266" s="691"/>
      <c r="JUN266" s="651"/>
      <c r="JUO266" s="691"/>
      <c r="JUP266" s="651"/>
      <c r="JUQ266" s="691"/>
      <c r="JUR266" s="651"/>
      <c r="JUS266" s="691"/>
      <c r="JUT266" s="651"/>
      <c r="JUU266" s="691"/>
      <c r="JUV266" s="651"/>
      <c r="JUW266" s="691"/>
      <c r="JUX266" s="651"/>
      <c r="JUY266" s="691"/>
      <c r="JUZ266" s="651"/>
      <c r="JVA266" s="691"/>
      <c r="JVB266" s="651"/>
      <c r="JVC266" s="691"/>
      <c r="JVD266" s="651"/>
      <c r="JVE266" s="691"/>
      <c r="JVF266" s="651"/>
      <c r="JVG266" s="691"/>
      <c r="JVH266" s="651"/>
      <c r="JVI266" s="691"/>
      <c r="JVJ266" s="651"/>
      <c r="JVK266" s="691"/>
      <c r="JVL266" s="651"/>
      <c r="JVM266" s="691"/>
      <c r="JVN266" s="651"/>
      <c r="JVO266" s="691"/>
      <c r="JVP266" s="651"/>
      <c r="JVQ266" s="691"/>
      <c r="JVR266" s="651"/>
      <c r="JVS266" s="691"/>
      <c r="JVT266" s="651"/>
      <c r="JVU266" s="691"/>
      <c r="JVV266" s="651"/>
      <c r="JVW266" s="691"/>
      <c r="JVX266" s="651"/>
      <c r="JVY266" s="691"/>
      <c r="JVZ266" s="651"/>
      <c r="JWA266" s="691"/>
      <c r="JWB266" s="651"/>
      <c r="JWC266" s="691"/>
      <c r="JWD266" s="651"/>
      <c r="JWE266" s="691"/>
      <c r="JWF266" s="651"/>
      <c r="JWG266" s="691"/>
      <c r="JWH266" s="651"/>
      <c r="JWI266" s="691"/>
      <c r="JWJ266" s="651"/>
      <c r="JWK266" s="691"/>
      <c r="JWL266" s="651"/>
      <c r="JWM266" s="691"/>
      <c r="JWN266" s="651"/>
      <c r="JWO266" s="691"/>
      <c r="JWP266" s="651"/>
      <c r="JWQ266" s="691"/>
      <c r="JWR266" s="651"/>
      <c r="JWS266" s="691"/>
      <c r="JWT266" s="651"/>
      <c r="JWU266" s="691"/>
      <c r="JWV266" s="651"/>
      <c r="JWW266" s="691"/>
      <c r="JWX266" s="651"/>
      <c r="JWY266" s="691"/>
      <c r="JWZ266" s="651"/>
      <c r="JXA266" s="691"/>
      <c r="JXB266" s="651"/>
      <c r="JXC266" s="691"/>
      <c r="JXD266" s="651"/>
      <c r="JXE266" s="691"/>
      <c r="JXF266" s="651"/>
      <c r="JXG266" s="691"/>
      <c r="JXH266" s="651"/>
      <c r="JXI266" s="691"/>
      <c r="JXJ266" s="651"/>
      <c r="JXK266" s="691"/>
      <c r="JXL266" s="651"/>
      <c r="JXM266" s="691"/>
      <c r="JXN266" s="651"/>
      <c r="JXO266" s="691"/>
      <c r="JXP266" s="651"/>
      <c r="JXQ266" s="691"/>
      <c r="JXR266" s="651"/>
      <c r="JXS266" s="691"/>
      <c r="JXT266" s="651"/>
      <c r="JXU266" s="691"/>
      <c r="JXV266" s="651"/>
      <c r="JXW266" s="691"/>
      <c r="JXX266" s="651"/>
      <c r="JXY266" s="691"/>
      <c r="JXZ266" s="651"/>
      <c r="JYA266" s="691"/>
      <c r="JYB266" s="651"/>
      <c r="JYC266" s="691"/>
      <c r="JYD266" s="651"/>
      <c r="JYE266" s="691"/>
      <c r="JYF266" s="651"/>
      <c r="JYG266" s="691"/>
      <c r="JYH266" s="651"/>
      <c r="JYI266" s="691"/>
      <c r="JYJ266" s="651"/>
      <c r="JYK266" s="691"/>
      <c r="JYL266" s="651"/>
      <c r="JYM266" s="691"/>
      <c r="JYN266" s="651"/>
      <c r="JYO266" s="691"/>
      <c r="JYP266" s="651"/>
      <c r="JYQ266" s="691"/>
      <c r="JYR266" s="651"/>
      <c r="JYS266" s="691"/>
      <c r="JYT266" s="651"/>
      <c r="JYU266" s="691"/>
      <c r="JYV266" s="651"/>
      <c r="JYW266" s="691"/>
      <c r="JYX266" s="651"/>
      <c r="JYY266" s="691"/>
      <c r="JYZ266" s="651"/>
      <c r="JZA266" s="691"/>
      <c r="JZB266" s="651"/>
      <c r="JZC266" s="691"/>
      <c r="JZD266" s="651"/>
      <c r="JZE266" s="691"/>
      <c r="JZF266" s="651"/>
      <c r="JZG266" s="691"/>
      <c r="JZH266" s="651"/>
      <c r="JZI266" s="691"/>
      <c r="JZJ266" s="651"/>
      <c r="JZK266" s="691"/>
      <c r="JZL266" s="651"/>
      <c r="JZM266" s="691"/>
      <c r="JZN266" s="651"/>
      <c r="JZO266" s="691"/>
      <c r="JZP266" s="651"/>
      <c r="JZQ266" s="691"/>
      <c r="JZR266" s="651"/>
      <c r="JZS266" s="691"/>
      <c r="JZT266" s="651"/>
      <c r="JZU266" s="691"/>
      <c r="JZV266" s="651"/>
      <c r="JZW266" s="691"/>
      <c r="JZX266" s="651"/>
      <c r="JZY266" s="691"/>
      <c r="JZZ266" s="651"/>
      <c r="KAA266" s="691"/>
      <c r="KAB266" s="651"/>
      <c r="KAC266" s="691"/>
      <c r="KAD266" s="651"/>
      <c r="KAE266" s="691"/>
      <c r="KAF266" s="651"/>
      <c r="KAG266" s="691"/>
      <c r="KAH266" s="651"/>
      <c r="KAI266" s="691"/>
      <c r="KAJ266" s="651"/>
      <c r="KAK266" s="691"/>
      <c r="KAL266" s="651"/>
      <c r="KAM266" s="691"/>
      <c r="KAN266" s="651"/>
      <c r="KAO266" s="691"/>
      <c r="KAP266" s="651"/>
      <c r="KAQ266" s="691"/>
      <c r="KAR266" s="651"/>
      <c r="KAS266" s="691"/>
      <c r="KAT266" s="651"/>
      <c r="KAU266" s="691"/>
      <c r="KAV266" s="651"/>
      <c r="KAW266" s="691"/>
      <c r="KAX266" s="651"/>
      <c r="KAY266" s="691"/>
      <c r="KAZ266" s="651"/>
      <c r="KBA266" s="691"/>
      <c r="KBB266" s="651"/>
      <c r="KBC266" s="691"/>
      <c r="KBD266" s="651"/>
      <c r="KBE266" s="691"/>
      <c r="KBF266" s="651"/>
      <c r="KBG266" s="691"/>
      <c r="KBH266" s="651"/>
      <c r="KBI266" s="691"/>
      <c r="KBJ266" s="651"/>
      <c r="KBK266" s="691"/>
      <c r="KBL266" s="651"/>
      <c r="KBM266" s="691"/>
      <c r="KBN266" s="651"/>
      <c r="KBO266" s="691"/>
      <c r="KBP266" s="651"/>
      <c r="KBQ266" s="691"/>
      <c r="KBR266" s="651"/>
      <c r="KBS266" s="691"/>
      <c r="KBT266" s="651"/>
      <c r="KBU266" s="691"/>
      <c r="KBV266" s="651"/>
      <c r="KBW266" s="691"/>
      <c r="KBX266" s="651"/>
      <c r="KBY266" s="691"/>
      <c r="KBZ266" s="651"/>
      <c r="KCA266" s="691"/>
      <c r="KCB266" s="651"/>
      <c r="KCC266" s="691"/>
      <c r="KCD266" s="651"/>
      <c r="KCE266" s="691"/>
      <c r="KCF266" s="651"/>
      <c r="KCG266" s="691"/>
      <c r="KCH266" s="651"/>
      <c r="KCI266" s="691"/>
      <c r="KCJ266" s="651"/>
      <c r="KCK266" s="691"/>
      <c r="KCL266" s="651"/>
      <c r="KCM266" s="691"/>
      <c r="KCN266" s="651"/>
      <c r="KCO266" s="691"/>
      <c r="KCP266" s="651"/>
      <c r="KCQ266" s="691"/>
      <c r="KCR266" s="651"/>
      <c r="KCS266" s="691"/>
      <c r="KCT266" s="651"/>
      <c r="KCU266" s="691"/>
      <c r="KCV266" s="651"/>
      <c r="KCW266" s="691"/>
      <c r="KCX266" s="651"/>
      <c r="KCY266" s="691"/>
      <c r="KCZ266" s="651"/>
      <c r="KDA266" s="691"/>
      <c r="KDB266" s="651"/>
      <c r="KDC266" s="691"/>
      <c r="KDD266" s="651"/>
      <c r="KDE266" s="691"/>
      <c r="KDF266" s="651"/>
      <c r="KDG266" s="691"/>
      <c r="KDH266" s="651"/>
      <c r="KDI266" s="691"/>
      <c r="KDJ266" s="651"/>
      <c r="KDK266" s="691"/>
      <c r="KDL266" s="651"/>
      <c r="KDM266" s="691"/>
      <c r="KDN266" s="651"/>
      <c r="KDO266" s="691"/>
      <c r="KDP266" s="651"/>
      <c r="KDQ266" s="691"/>
      <c r="KDR266" s="651"/>
      <c r="KDS266" s="691"/>
      <c r="KDT266" s="651"/>
      <c r="KDU266" s="691"/>
      <c r="KDV266" s="651"/>
      <c r="KDW266" s="691"/>
      <c r="KDX266" s="651"/>
      <c r="KDY266" s="691"/>
      <c r="KDZ266" s="651"/>
      <c r="KEA266" s="691"/>
      <c r="KEB266" s="651"/>
      <c r="KEC266" s="691"/>
      <c r="KED266" s="651"/>
      <c r="KEE266" s="691"/>
      <c r="KEF266" s="651"/>
      <c r="KEG266" s="691"/>
      <c r="KEH266" s="651"/>
      <c r="KEI266" s="691"/>
      <c r="KEJ266" s="651"/>
      <c r="KEK266" s="691"/>
      <c r="KEL266" s="651"/>
      <c r="KEM266" s="691"/>
      <c r="KEN266" s="651"/>
      <c r="KEO266" s="691"/>
      <c r="KEP266" s="651"/>
      <c r="KEQ266" s="691"/>
      <c r="KER266" s="651"/>
      <c r="KES266" s="691"/>
      <c r="KET266" s="651"/>
      <c r="KEU266" s="691"/>
      <c r="KEV266" s="651"/>
      <c r="KEW266" s="691"/>
      <c r="KEX266" s="651"/>
      <c r="KEY266" s="691"/>
      <c r="KEZ266" s="651"/>
      <c r="KFA266" s="691"/>
      <c r="KFB266" s="651"/>
      <c r="KFC266" s="691"/>
      <c r="KFD266" s="651"/>
      <c r="KFE266" s="691"/>
      <c r="KFF266" s="651"/>
      <c r="KFG266" s="691"/>
      <c r="KFH266" s="651"/>
      <c r="KFI266" s="691"/>
      <c r="KFJ266" s="651"/>
      <c r="KFK266" s="691"/>
      <c r="KFL266" s="651"/>
      <c r="KFM266" s="691"/>
      <c r="KFN266" s="651"/>
      <c r="KFO266" s="691"/>
      <c r="KFP266" s="651"/>
      <c r="KFQ266" s="691"/>
      <c r="KFR266" s="651"/>
      <c r="KFS266" s="691"/>
      <c r="KFT266" s="651"/>
      <c r="KFU266" s="691"/>
      <c r="KFV266" s="651"/>
      <c r="KFW266" s="691"/>
      <c r="KFX266" s="651"/>
      <c r="KFY266" s="691"/>
      <c r="KFZ266" s="651"/>
      <c r="KGA266" s="691"/>
      <c r="KGB266" s="651"/>
      <c r="KGC266" s="691"/>
      <c r="KGD266" s="651"/>
      <c r="KGE266" s="691"/>
      <c r="KGF266" s="651"/>
      <c r="KGG266" s="691"/>
      <c r="KGH266" s="651"/>
      <c r="KGI266" s="691"/>
      <c r="KGJ266" s="651"/>
      <c r="KGK266" s="691"/>
      <c r="KGL266" s="651"/>
      <c r="KGM266" s="691"/>
      <c r="KGN266" s="651"/>
      <c r="KGO266" s="691"/>
      <c r="KGP266" s="651"/>
      <c r="KGQ266" s="691"/>
      <c r="KGR266" s="651"/>
      <c r="KGS266" s="691"/>
      <c r="KGT266" s="651"/>
      <c r="KGU266" s="691"/>
      <c r="KGV266" s="651"/>
      <c r="KGW266" s="691"/>
      <c r="KGX266" s="651"/>
      <c r="KGY266" s="691"/>
      <c r="KGZ266" s="651"/>
      <c r="KHA266" s="691"/>
      <c r="KHB266" s="651"/>
      <c r="KHC266" s="691"/>
      <c r="KHD266" s="651"/>
      <c r="KHE266" s="691"/>
      <c r="KHF266" s="651"/>
      <c r="KHG266" s="691"/>
      <c r="KHH266" s="651"/>
      <c r="KHI266" s="691"/>
      <c r="KHJ266" s="651"/>
      <c r="KHK266" s="691"/>
      <c r="KHL266" s="651"/>
      <c r="KHM266" s="691"/>
      <c r="KHN266" s="651"/>
      <c r="KHO266" s="691"/>
      <c r="KHP266" s="651"/>
      <c r="KHQ266" s="691"/>
      <c r="KHR266" s="651"/>
      <c r="KHS266" s="691"/>
      <c r="KHT266" s="651"/>
      <c r="KHU266" s="691"/>
      <c r="KHV266" s="651"/>
      <c r="KHW266" s="691"/>
      <c r="KHX266" s="651"/>
      <c r="KHY266" s="691"/>
      <c r="KHZ266" s="651"/>
      <c r="KIA266" s="691"/>
      <c r="KIB266" s="651"/>
      <c r="KIC266" s="691"/>
      <c r="KID266" s="651"/>
      <c r="KIE266" s="691"/>
      <c r="KIF266" s="651"/>
      <c r="KIG266" s="691"/>
      <c r="KIH266" s="651"/>
      <c r="KII266" s="691"/>
      <c r="KIJ266" s="651"/>
      <c r="KIK266" s="691"/>
      <c r="KIL266" s="651"/>
      <c r="KIM266" s="691"/>
      <c r="KIN266" s="651"/>
      <c r="KIO266" s="691"/>
      <c r="KIP266" s="651"/>
      <c r="KIQ266" s="691"/>
      <c r="KIR266" s="651"/>
      <c r="KIS266" s="691"/>
      <c r="KIT266" s="651"/>
      <c r="KIU266" s="691"/>
      <c r="KIV266" s="651"/>
      <c r="KIW266" s="691"/>
      <c r="KIX266" s="651"/>
      <c r="KIY266" s="691"/>
      <c r="KIZ266" s="651"/>
      <c r="KJA266" s="691"/>
      <c r="KJB266" s="651"/>
      <c r="KJC266" s="691"/>
      <c r="KJD266" s="651"/>
      <c r="KJE266" s="691"/>
      <c r="KJF266" s="651"/>
      <c r="KJG266" s="691"/>
      <c r="KJH266" s="651"/>
      <c r="KJI266" s="691"/>
      <c r="KJJ266" s="651"/>
      <c r="KJK266" s="691"/>
      <c r="KJL266" s="651"/>
      <c r="KJM266" s="691"/>
      <c r="KJN266" s="651"/>
      <c r="KJO266" s="691"/>
      <c r="KJP266" s="651"/>
      <c r="KJQ266" s="691"/>
      <c r="KJR266" s="651"/>
      <c r="KJS266" s="691"/>
      <c r="KJT266" s="651"/>
      <c r="KJU266" s="691"/>
      <c r="KJV266" s="651"/>
      <c r="KJW266" s="691"/>
      <c r="KJX266" s="651"/>
      <c r="KJY266" s="691"/>
      <c r="KJZ266" s="651"/>
      <c r="KKA266" s="691"/>
      <c r="KKB266" s="651"/>
      <c r="KKC266" s="691"/>
      <c r="KKD266" s="651"/>
      <c r="KKE266" s="691"/>
      <c r="KKF266" s="651"/>
      <c r="KKG266" s="691"/>
      <c r="KKH266" s="651"/>
      <c r="KKI266" s="691"/>
      <c r="KKJ266" s="651"/>
      <c r="KKK266" s="691"/>
      <c r="KKL266" s="651"/>
      <c r="KKM266" s="691"/>
      <c r="KKN266" s="651"/>
      <c r="KKO266" s="691"/>
      <c r="KKP266" s="651"/>
      <c r="KKQ266" s="691"/>
      <c r="KKR266" s="651"/>
      <c r="KKS266" s="691"/>
      <c r="KKT266" s="651"/>
      <c r="KKU266" s="691"/>
      <c r="KKV266" s="651"/>
      <c r="KKW266" s="691"/>
      <c r="KKX266" s="651"/>
      <c r="KKY266" s="691"/>
      <c r="KKZ266" s="651"/>
      <c r="KLA266" s="691"/>
      <c r="KLB266" s="651"/>
      <c r="KLC266" s="691"/>
      <c r="KLD266" s="651"/>
      <c r="KLE266" s="691"/>
      <c r="KLF266" s="651"/>
      <c r="KLG266" s="691"/>
      <c r="KLH266" s="651"/>
      <c r="KLI266" s="691"/>
      <c r="KLJ266" s="651"/>
      <c r="KLK266" s="691"/>
      <c r="KLL266" s="651"/>
      <c r="KLM266" s="691"/>
      <c r="KLN266" s="651"/>
      <c r="KLO266" s="691"/>
      <c r="KLP266" s="651"/>
      <c r="KLQ266" s="691"/>
      <c r="KLR266" s="651"/>
      <c r="KLS266" s="691"/>
      <c r="KLT266" s="651"/>
      <c r="KLU266" s="691"/>
      <c r="KLV266" s="651"/>
      <c r="KLW266" s="691"/>
      <c r="KLX266" s="651"/>
      <c r="KLY266" s="691"/>
      <c r="KLZ266" s="651"/>
      <c r="KMA266" s="691"/>
      <c r="KMB266" s="651"/>
      <c r="KMC266" s="691"/>
      <c r="KMD266" s="651"/>
      <c r="KME266" s="691"/>
      <c r="KMF266" s="651"/>
      <c r="KMG266" s="691"/>
      <c r="KMH266" s="651"/>
      <c r="KMI266" s="691"/>
      <c r="KMJ266" s="651"/>
      <c r="KMK266" s="691"/>
      <c r="KML266" s="651"/>
      <c r="KMM266" s="691"/>
      <c r="KMN266" s="651"/>
      <c r="KMO266" s="691"/>
      <c r="KMP266" s="651"/>
      <c r="KMQ266" s="691"/>
      <c r="KMR266" s="651"/>
      <c r="KMS266" s="691"/>
      <c r="KMT266" s="651"/>
      <c r="KMU266" s="691"/>
      <c r="KMV266" s="651"/>
      <c r="KMW266" s="691"/>
      <c r="KMX266" s="651"/>
      <c r="KMY266" s="691"/>
      <c r="KMZ266" s="651"/>
      <c r="KNA266" s="691"/>
      <c r="KNB266" s="651"/>
      <c r="KNC266" s="691"/>
      <c r="KND266" s="651"/>
      <c r="KNE266" s="691"/>
      <c r="KNF266" s="651"/>
      <c r="KNG266" s="691"/>
      <c r="KNH266" s="651"/>
      <c r="KNI266" s="691"/>
      <c r="KNJ266" s="651"/>
      <c r="KNK266" s="691"/>
      <c r="KNL266" s="651"/>
      <c r="KNM266" s="691"/>
      <c r="KNN266" s="651"/>
      <c r="KNO266" s="691"/>
      <c r="KNP266" s="651"/>
      <c r="KNQ266" s="691"/>
      <c r="KNR266" s="651"/>
      <c r="KNS266" s="691"/>
      <c r="KNT266" s="651"/>
      <c r="KNU266" s="691"/>
      <c r="KNV266" s="651"/>
      <c r="KNW266" s="691"/>
      <c r="KNX266" s="651"/>
      <c r="KNY266" s="691"/>
      <c r="KNZ266" s="651"/>
      <c r="KOA266" s="691"/>
      <c r="KOB266" s="651"/>
      <c r="KOC266" s="691"/>
      <c r="KOD266" s="651"/>
      <c r="KOE266" s="691"/>
      <c r="KOF266" s="651"/>
      <c r="KOG266" s="691"/>
      <c r="KOH266" s="651"/>
      <c r="KOI266" s="691"/>
      <c r="KOJ266" s="651"/>
      <c r="KOK266" s="691"/>
      <c r="KOL266" s="651"/>
      <c r="KOM266" s="691"/>
      <c r="KON266" s="651"/>
      <c r="KOO266" s="691"/>
      <c r="KOP266" s="651"/>
      <c r="KOQ266" s="691"/>
      <c r="KOR266" s="651"/>
      <c r="KOS266" s="691"/>
      <c r="KOT266" s="651"/>
      <c r="KOU266" s="691"/>
      <c r="KOV266" s="651"/>
      <c r="KOW266" s="691"/>
      <c r="KOX266" s="651"/>
      <c r="KOY266" s="691"/>
      <c r="KOZ266" s="651"/>
      <c r="KPA266" s="691"/>
      <c r="KPB266" s="651"/>
      <c r="KPC266" s="691"/>
      <c r="KPD266" s="651"/>
      <c r="KPE266" s="691"/>
      <c r="KPF266" s="651"/>
      <c r="KPG266" s="691"/>
      <c r="KPH266" s="651"/>
      <c r="KPI266" s="691"/>
      <c r="KPJ266" s="651"/>
      <c r="KPK266" s="691"/>
      <c r="KPL266" s="651"/>
      <c r="KPM266" s="691"/>
      <c r="KPN266" s="651"/>
      <c r="KPO266" s="691"/>
      <c r="KPP266" s="651"/>
      <c r="KPQ266" s="691"/>
      <c r="KPR266" s="651"/>
      <c r="KPS266" s="691"/>
      <c r="KPT266" s="651"/>
      <c r="KPU266" s="691"/>
      <c r="KPV266" s="651"/>
      <c r="KPW266" s="691"/>
      <c r="KPX266" s="651"/>
      <c r="KPY266" s="691"/>
      <c r="KPZ266" s="651"/>
      <c r="KQA266" s="691"/>
      <c r="KQB266" s="651"/>
      <c r="KQC266" s="691"/>
      <c r="KQD266" s="651"/>
      <c r="KQE266" s="691"/>
      <c r="KQF266" s="651"/>
      <c r="KQG266" s="691"/>
      <c r="KQH266" s="651"/>
      <c r="KQI266" s="691"/>
      <c r="KQJ266" s="651"/>
      <c r="KQK266" s="691"/>
      <c r="KQL266" s="651"/>
      <c r="KQM266" s="691"/>
      <c r="KQN266" s="651"/>
      <c r="KQO266" s="691"/>
      <c r="KQP266" s="651"/>
      <c r="KQQ266" s="691"/>
      <c r="KQR266" s="651"/>
      <c r="KQS266" s="691"/>
      <c r="KQT266" s="651"/>
      <c r="KQU266" s="691"/>
      <c r="KQV266" s="651"/>
      <c r="KQW266" s="691"/>
      <c r="KQX266" s="651"/>
      <c r="KQY266" s="691"/>
      <c r="KQZ266" s="651"/>
      <c r="KRA266" s="691"/>
      <c r="KRB266" s="651"/>
      <c r="KRC266" s="691"/>
      <c r="KRD266" s="651"/>
      <c r="KRE266" s="691"/>
      <c r="KRF266" s="651"/>
      <c r="KRG266" s="691"/>
      <c r="KRH266" s="651"/>
      <c r="KRI266" s="691"/>
      <c r="KRJ266" s="651"/>
      <c r="KRK266" s="691"/>
      <c r="KRL266" s="651"/>
      <c r="KRM266" s="691"/>
      <c r="KRN266" s="651"/>
      <c r="KRO266" s="691"/>
      <c r="KRP266" s="651"/>
      <c r="KRQ266" s="691"/>
      <c r="KRR266" s="651"/>
      <c r="KRS266" s="691"/>
      <c r="KRT266" s="651"/>
      <c r="KRU266" s="691"/>
      <c r="KRV266" s="651"/>
      <c r="KRW266" s="691"/>
      <c r="KRX266" s="651"/>
      <c r="KRY266" s="691"/>
      <c r="KRZ266" s="651"/>
      <c r="KSA266" s="691"/>
      <c r="KSB266" s="651"/>
      <c r="KSC266" s="691"/>
      <c r="KSD266" s="651"/>
      <c r="KSE266" s="691"/>
      <c r="KSF266" s="651"/>
      <c r="KSG266" s="691"/>
      <c r="KSH266" s="651"/>
      <c r="KSI266" s="691"/>
      <c r="KSJ266" s="651"/>
      <c r="KSK266" s="691"/>
      <c r="KSL266" s="651"/>
      <c r="KSM266" s="691"/>
      <c r="KSN266" s="651"/>
      <c r="KSO266" s="691"/>
      <c r="KSP266" s="651"/>
      <c r="KSQ266" s="691"/>
      <c r="KSR266" s="651"/>
      <c r="KSS266" s="691"/>
      <c r="KST266" s="651"/>
      <c r="KSU266" s="691"/>
      <c r="KSV266" s="651"/>
      <c r="KSW266" s="691"/>
      <c r="KSX266" s="651"/>
      <c r="KSY266" s="691"/>
      <c r="KSZ266" s="651"/>
      <c r="KTA266" s="691"/>
      <c r="KTB266" s="651"/>
      <c r="KTC266" s="691"/>
      <c r="KTD266" s="651"/>
      <c r="KTE266" s="691"/>
      <c r="KTF266" s="651"/>
      <c r="KTG266" s="691"/>
      <c r="KTH266" s="651"/>
      <c r="KTI266" s="691"/>
      <c r="KTJ266" s="651"/>
      <c r="KTK266" s="691"/>
      <c r="KTL266" s="651"/>
      <c r="KTM266" s="691"/>
      <c r="KTN266" s="651"/>
      <c r="KTO266" s="691"/>
      <c r="KTP266" s="651"/>
      <c r="KTQ266" s="691"/>
      <c r="KTR266" s="651"/>
      <c r="KTS266" s="691"/>
      <c r="KTT266" s="651"/>
      <c r="KTU266" s="691"/>
      <c r="KTV266" s="651"/>
      <c r="KTW266" s="691"/>
      <c r="KTX266" s="651"/>
      <c r="KTY266" s="691"/>
      <c r="KTZ266" s="651"/>
      <c r="KUA266" s="691"/>
      <c r="KUB266" s="651"/>
      <c r="KUC266" s="691"/>
      <c r="KUD266" s="651"/>
      <c r="KUE266" s="691"/>
      <c r="KUF266" s="651"/>
      <c r="KUG266" s="691"/>
      <c r="KUH266" s="651"/>
      <c r="KUI266" s="691"/>
      <c r="KUJ266" s="651"/>
      <c r="KUK266" s="691"/>
      <c r="KUL266" s="651"/>
      <c r="KUM266" s="691"/>
      <c r="KUN266" s="651"/>
      <c r="KUO266" s="691"/>
      <c r="KUP266" s="651"/>
      <c r="KUQ266" s="691"/>
      <c r="KUR266" s="651"/>
      <c r="KUS266" s="691"/>
      <c r="KUT266" s="651"/>
      <c r="KUU266" s="691"/>
      <c r="KUV266" s="651"/>
      <c r="KUW266" s="691"/>
      <c r="KUX266" s="651"/>
      <c r="KUY266" s="691"/>
      <c r="KUZ266" s="651"/>
      <c r="KVA266" s="691"/>
      <c r="KVB266" s="651"/>
      <c r="KVC266" s="691"/>
      <c r="KVD266" s="651"/>
      <c r="KVE266" s="691"/>
      <c r="KVF266" s="651"/>
      <c r="KVG266" s="691"/>
      <c r="KVH266" s="651"/>
      <c r="KVI266" s="691"/>
      <c r="KVJ266" s="651"/>
      <c r="KVK266" s="691"/>
      <c r="KVL266" s="651"/>
      <c r="KVM266" s="691"/>
      <c r="KVN266" s="651"/>
      <c r="KVO266" s="691"/>
      <c r="KVP266" s="651"/>
      <c r="KVQ266" s="691"/>
      <c r="KVR266" s="651"/>
      <c r="KVS266" s="691"/>
      <c r="KVT266" s="651"/>
      <c r="KVU266" s="691"/>
      <c r="KVV266" s="651"/>
      <c r="KVW266" s="691"/>
      <c r="KVX266" s="651"/>
      <c r="KVY266" s="691"/>
      <c r="KVZ266" s="651"/>
      <c r="KWA266" s="691"/>
      <c r="KWB266" s="651"/>
      <c r="KWC266" s="691"/>
      <c r="KWD266" s="651"/>
      <c r="KWE266" s="691"/>
      <c r="KWF266" s="651"/>
      <c r="KWG266" s="691"/>
      <c r="KWH266" s="651"/>
      <c r="KWI266" s="691"/>
      <c r="KWJ266" s="651"/>
      <c r="KWK266" s="691"/>
      <c r="KWL266" s="651"/>
      <c r="KWM266" s="691"/>
      <c r="KWN266" s="651"/>
      <c r="KWO266" s="691"/>
      <c r="KWP266" s="651"/>
      <c r="KWQ266" s="691"/>
      <c r="KWR266" s="651"/>
      <c r="KWS266" s="691"/>
      <c r="KWT266" s="651"/>
      <c r="KWU266" s="691"/>
      <c r="KWV266" s="651"/>
      <c r="KWW266" s="691"/>
      <c r="KWX266" s="651"/>
      <c r="KWY266" s="691"/>
      <c r="KWZ266" s="651"/>
      <c r="KXA266" s="691"/>
      <c r="KXB266" s="651"/>
      <c r="KXC266" s="691"/>
      <c r="KXD266" s="651"/>
      <c r="KXE266" s="691"/>
      <c r="KXF266" s="651"/>
      <c r="KXG266" s="691"/>
      <c r="KXH266" s="651"/>
      <c r="KXI266" s="691"/>
      <c r="KXJ266" s="651"/>
      <c r="KXK266" s="691"/>
      <c r="KXL266" s="651"/>
      <c r="KXM266" s="691"/>
      <c r="KXN266" s="651"/>
      <c r="KXO266" s="691"/>
      <c r="KXP266" s="651"/>
      <c r="KXQ266" s="691"/>
      <c r="KXR266" s="651"/>
      <c r="KXS266" s="691"/>
      <c r="KXT266" s="651"/>
      <c r="KXU266" s="691"/>
      <c r="KXV266" s="651"/>
      <c r="KXW266" s="691"/>
      <c r="KXX266" s="651"/>
      <c r="KXY266" s="691"/>
      <c r="KXZ266" s="651"/>
      <c r="KYA266" s="691"/>
      <c r="KYB266" s="651"/>
      <c r="KYC266" s="691"/>
      <c r="KYD266" s="651"/>
      <c r="KYE266" s="691"/>
      <c r="KYF266" s="651"/>
      <c r="KYG266" s="691"/>
      <c r="KYH266" s="651"/>
      <c r="KYI266" s="691"/>
      <c r="KYJ266" s="651"/>
      <c r="KYK266" s="691"/>
      <c r="KYL266" s="651"/>
      <c r="KYM266" s="691"/>
      <c r="KYN266" s="651"/>
      <c r="KYO266" s="691"/>
      <c r="KYP266" s="651"/>
      <c r="KYQ266" s="691"/>
      <c r="KYR266" s="651"/>
      <c r="KYS266" s="691"/>
      <c r="KYT266" s="651"/>
      <c r="KYU266" s="691"/>
      <c r="KYV266" s="651"/>
      <c r="KYW266" s="691"/>
      <c r="KYX266" s="651"/>
      <c r="KYY266" s="691"/>
      <c r="KYZ266" s="651"/>
      <c r="KZA266" s="691"/>
      <c r="KZB266" s="651"/>
      <c r="KZC266" s="691"/>
      <c r="KZD266" s="651"/>
      <c r="KZE266" s="691"/>
      <c r="KZF266" s="651"/>
      <c r="KZG266" s="691"/>
      <c r="KZH266" s="651"/>
      <c r="KZI266" s="691"/>
      <c r="KZJ266" s="651"/>
      <c r="KZK266" s="691"/>
      <c r="KZL266" s="651"/>
      <c r="KZM266" s="691"/>
      <c r="KZN266" s="651"/>
      <c r="KZO266" s="691"/>
      <c r="KZP266" s="651"/>
      <c r="KZQ266" s="691"/>
      <c r="KZR266" s="651"/>
      <c r="KZS266" s="691"/>
      <c r="KZT266" s="651"/>
      <c r="KZU266" s="691"/>
      <c r="KZV266" s="651"/>
      <c r="KZW266" s="691"/>
      <c r="KZX266" s="651"/>
      <c r="KZY266" s="691"/>
      <c r="KZZ266" s="651"/>
      <c r="LAA266" s="691"/>
      <c r="LAB266" s="651"/>
      <c r="LAC266" s="691"/>
      <c r="LAD266" s="651"/>
      <c r="LAE266" s="691"/>
      <c r="LAF266" s="651"/>
      <c r="LAG266" s="691"/>
      <c r="LAH266" s="651"/>
      <c r="LAI266" s="691"/>
      <c r="LAJ266" s="651"/>
      <c r="LAK266" s="691"/>
      <c r="LAL266" s="651"/>
      <c r="LAM266" s="691"/>
      <c r="LAN266" s="651"/>
      <c r="LAO266" s="691"/>
      <c r="LAP266" s="651"/>
      <c r="LAQ266" s="691"/>
      <c r="LAR266" s="651"/>
      <c r="LAS266" s="691"/>
      <c r="LAT266" s="651"/>
      <c r="LAU266" s="691"/>
      <c r="LAV266" s="651"/>
      <c r="LAW266" s="691"/>
      <c r="LAX266" s="651"/>
      <c r="LAY266" s="691"/>
      <c r="LAZ266" s="651"/>
      <c r="LBA266" s="691"/>
      <c r="LBB266" s="651"/>
      <c r="LBC266" s="691"/>
      <c r="LBD266" s="651"/>
      <c r="LBE266" s="691"/>
      <c r="LBF266" s="651"/>
      <c r="LBG266" s="691"/>
      <c r="LBH266" s="651"/>
      <c r="LBI266" s="691"/>
      <c r="LBJ266" s="651"/>
      <c r="LBK266" s="691"/>
      <c r="LBL266" s="651"/>
      <c r="LBM266" s="691"/>
      <c r="LBN266" s="651"/>
      <c r="LBO266" s="691"/>
      <c r="LBP266" s="651"/>
      <c r="LBQ266" s="691"/>
      <c r="LBR266" s="651"/>
      <c r="LBS266" s="691"/>
      <c r="LBT266" s="651"/>
      <c r="LBU266" s="691"/>
      <c r="LBV266" s="651"/>
      <c r="LBW266" s="691"/>
      <c r="LBX266" s="651"/>
      <c r="LBY266" s="691"/>
      <c r="LBZ266" s="651"/>
      <c r="LCA266" s="691"/>
      <c r="LCB266" s="651"/>
      <c r="LCC266" s="691"/>
      <c r="LCD266" s="651"/>
      <c r="LCE266" s="691"/>
      <c r="LCF266" s="651"/>
      <c r="LCG266" s="691"/>
      <c r="LCH266" s="651"/>
      <c r="LCI266" s="691"/>
      <c r="LCJ266" s="651"/>
      <c r="LCK266" s="691"/>
      <c r="LCL266" s="651"/>
      <c r="LCM266" s="691"/>
      <c r="LCN266" s="651"/>
      <c r="LCO266" s="691"/>
      <c r="LCP266" s="651"/>
      <c r="LCQ266" s="691"/>
      <c r="LCR266" s="651"/>
      <c r="LCS266" s="691"/>
      <c r="LCT266" s="651"/>
      <c r="LCU266" s="691"/>
      <c r="LCV266" s="651"/>
      <c r="LCW266" s="691"/>
      <c r="LCX266" s="651"/>
      <c r="LCY266" s="691"/>
      <c r="LCZ266" s="651"/>
      <c r="LDA266" s="691"/>
      <c r="LDB266" s="651"/>
      <c r="LDC266" s="691"/>
      <c r="LDD266" s="651"/>
      <c r="LDE266" s="691"/>
      <c r="LDF266" s="651"/>
      <c r="LDG266" s="691"/>
      <c r="LDH266" s="651"/>
      <c r="LDI266" s="691"/>
      <c r="LDJ266" s="651"/>
      <c r="LDK266" s="691"/>
      <c r="LDL266" s="651"/>
      <c r="LDM266" s="691"/>
      <c r="LDN266" s="651"/>
      <c r="LDO266" s="691"/>
      <c r="LDP266" s="651"/>
      <c r="LDQ266" s="691"/>
      <c r="LDR266" s="651"/>
      <c r="LDS266" s="691"/>
      <c r="LDT266" s="651"/>
      <c r="LDU266" s="691"/>
      <c r="LDV266" s="651"/>
      <c r="LDW266" s="691"/>
      <c r="LDX266" s="651"/>
      <c r="LDY266" s="691"/>
      <c r="LDZ266" s="651"/>
      <c r="LEA266" s="691"/>
      <c r="LEB266" s="651"/>
      <c r="LEC266" s="691"/>
      <c r="LED266" s="651"/>
      <c r="LEE266" s="691"/>
      <c r="LEF266" s="651"/>
      <c r="LEG266" s="691"/>
      <c r="LEH266" s="651"/>
      <c r="LEI266" s="691"/>
      <c r="LEJ266" s="651"/>
      <c r="LEK266" s="691"/>
      <c r="LEL266" s="651"/>
      <c r="LEM266" s="691"/>
      <c r="LEN266" s="651"/>
      <c r="LEO266" s="691"/>
      <c r="LEP266" s="651"/>
      <c r="LEQ266" s="691"/>
      <c r="LER266" s="651"/>
      <c r="LES266" s="691"/>
      <c r="LET266" s="651"/>
      <c r="LEU266" s="691"/>
      <c r="LEV266" s="651"/>
      <c r="LEW266" s="691"/>
      <c r="LEX266" s="651"/>
      <c r="LEY266" s="691"/>
      <c r="LEZ266" s="651"/>
      <c r="LFA266" s="691"/>
      <c r="LFB266" s="651"/>
      <c r="LFC266" s="691"/>
      <c r="LFD266" s="651"/>
      <c r="LFE266" s="691"/>
      <c r="LFF266" s="651"/>
      <c r="LFG266" s="691"/>
      <c r="LFH266" s="651"/>
      <c r="LFI266" s="691"/>
      <c r="LFJ266" s="651"/>
      <c r="LFK266" s="691"/>
      <c r="LFL266" s="651"/>
      <c r="LFM266" s="691"/>
      <c r="LFN266" s="651"/>
      <c r="LFO266" s="691"/>
      <c r="LFP266" s="651"/>
      <c r="LFQ266" s="691"/>
      <c r="LFR266" s="651"/>
      <c r="LFS266" s="691"/>
      <c r="LFT266" s="651"/>
      <c r="LFU266" s="691"/>
      <c r="LFV266" s="651"/>
      <c r="LFW266" s="691"/>
      <c r="LFX266" s="651"/>
      <c r="LFY266" s="691"/>
      <c r="LFZ266" s="651"/>
      <c r="LGA266" s="691"/>
      <c r="LGB266" s="651"/>
      <c r="LGC266" s="691"/>
      <c r="LGD266" s="651"/>
      <c r="LGE266" s="691"/>
      <c r="LGF266" s="651"/>
      <c r="LGG266" s="691"/>
      <c r="LGH266" s="651"/>
      <c r="LGI266" s="691"/>
      <c r="LGJ266" s="651"/>
      <c r="LGK266" s="691"/>
      <c r="LGL266" s="651"/>
      <c r="LGM266" s="691"/>
      <c r="LGN266" s="651"/>
      <c r="LGO266" s="691"/>
      <c r="LGP266" s="651"/>
      <c r="LGQ266" s="691"/>
      <c r="LGR266" s="651"/>
      <c r="LGS266" s="691"/>
      <c r="LGT266" s="651"/>
      <c r="LGU266" s="691"/>
      <c r="LGV266" s="651"/>
      <c r="LGW266" s="691"/>
      <c r="LGX266" s="651"/>
      <c r="LGY266" s="691"/>
      <c r="LGZ266" s="651"/>
      <c r="LHA266" s="691"/>
      <c r="LHB266" s="651"/>
      <c r="LHC266" s="691"/>
      <c r="LHD266" s="651"/>
      <c r="LHE266" s="691"/>
      <c r="LHF266" s="651"/>
      <c r="LHG266" s="691"/>
      <c r="LHH266" s="651"/>
      <c r="LHI266" s="691"/>
      <c r="LHJ266" s="651"/>
      <c r="LHK266" s="691"/>
      <c r="LHL266" s="651"/>
      <c r="LHM266" s="691"/>
      <c r="LHN266" s="651"/>
      <c r="LHO266" s="691"/>
      <c r="LHP266" s="651"/>
      <c r="LHQ266" s="691"/>
      <c r="LHR266" s="651"/>
      <c r="LHS266" s="691"/>
      <c r="LHT266" s="651"/>
      <c r="LHU266" s="691"/>
      <c r="LHV266" s="651"/>
      <c r="LHW266" s="691"/>
      <c r="LHX266" s="651"/>
      <c r="LHY266" s="691"/>
      <c r="LHZ266" s="651"/>
      <c r="LIA266" s="691"/>
      <c r="LIB266" s="651"/>
      <c r="LIC266" s="691"/>
      <c r="LID266" s="651"/>
      <c r="LIE266" s="691"/>
      <c r="LIF266" s="651"/>
      <c r="LIG266" s="691"/>
      <c r="LIH266" s="651"/>
      <c r="LII266" s="691"/>
      <c r="LIJ266" s="651"/>
      <c r="LIK266" s="691"/>
      <c r="LIL266" s="651"/>
      <c r="LIM266" s="691"/>
      <c r="LIN266" s="651"/>
      <c r="LIO266" s="691"/>
      <c r="LIP266" s="651"/>
      <c r="LIQ266" s="691"/>
      <c r="LIR266" s="651"/>
      <c r="LIS266" s="691"/>
      <c r="LIT266" s="651"/>
      <c r="LIU266" s="691"/>
      <c r="LIV266" s="651"/>
      <c r="LIW266" s="691"/>
      <c r="LIX266" s="651"/>
      <c r="LIY266" s="691"/>
      <c r="LIZ266" s="651"/>
      <c r="LJA266" s="691"/>
      <c r="LJB266" s="651"/>
      <c r="LJC266" s="691"/>
      <c r="LJD266" s="651"/>
      <c r="LJE266" s="691"/>
      <c r="LJF266" s="651"/>
      <c r="LJG266" s="691"/>
      <c r="LJH266" s="651"/>
      <c r="LJI266" s="691"/>
      <c r="LJJ266" s="651"/>
      <c r="LJK266" s="691"/>
      <c r="LJL266" s="651"/>
      <c r="LJM266" s="691"/>
      <c r="LJN266" s="651"/>
      <c r="LJO266" s="691"/>
      <c r="LJP266" s="651"/>
      <c r="LJQ266" s="691"/>
      <c r="LJR266" s="651"/>
      <c r="LJS266" s="691"/>
      <c r="LJT266" s="651"/>
      <c r="LJU266" s="691"/>
      <c r="LJV266" s="651"/>
      <c r="LJW266" s="691"/>
      <c r="LJX266" s="651"/>
      <c r="LJY266" s="691"/>
      <c r="LJZ266" s="651"/>
      <c r="LKA266" s="691"/>
      <c r="LKB266" s="651"/>
      <c r="LKC266" s="691"/>
      <c r="LKD266" s="651"/>
      <c r="LKE266" s="691"/>
      <c r="LKF266" s="651"/>
      <c r="LKG266" s="691"/>
      <c r="LKH266" s="651"/>
      <c r="LKI266" s="691"/>
      <c r="LKJ266" s="651"/>
      <c r="LKK266" s="691"/>
      <c r="LKL266" s="651"/>
      <c r="LKM266" s="691"/>
      <c r="LKN266" s="651"/>
      <c r="LKO266" s="691"/>
      <c r="LKP266" s="651"/>
      <c r="LKQ266" s="691"/>
      <c r="LKR266" s="651"/>
      <c r="LKS266" s="691"/>
      <c r="LKT266" s="651"/>
      <c r="LKU266" s="691"/>
      <c r="LKV266" s="651"/>
      <c r="LKW266" s="691"/>
      <c r="LKX266" s="651"/>
      <c r="LKY266" s="691"/>
      <c r="LKZ266" s="651"/>
      <c r="LLA266" s="691"/>
      <c r="LLB266" s="651"/>
      <c r="LLC266" s="691"/>
      <c r="LLD266" s="651"/>
      <c r="LLE266" s="691"/>
      <c r="LLF266" s="651"/>
      <c r="LLG266" s="691"/>
      <c r="LLH266" s="651"/>
      <c r="LLI266" s="691"/>
      <c r="LLJ266" s="651"/>
      <c r="LLK266" s="691"/>
      <c r="LLL266" s="651"/>
      <c r="LLM266" s="691"/>
      <c r="LLN266" s="651"/>
      <c r="LLO266" s="691"/>
      <c r="LLP266" s="651"/>
      <c r="LLQ266" s="691"/>
      <c r="LLR266" s="651"/>
      <c r="LLS266" s="691"/>
      <c r="LLT266" s="651"/>
      <c r="LLU266" s="691"/>
      <c r="LLV266" s="651"/>
      <c r="LLW266" s="691"/>
      <c r="LLX266" s="651"/>
      <c r="LLY266" s="691"/>
      <c r="LLZ266" s="651"/>
      <c r="LMA266" s="691"/>
      <c r="LMB266" s="651"/>
      <c r="LMC266" s="691"/>
      <c r="LMD266" s="651"/>
      <c r="LME266" s="691"/>
      <c r="LMF266" s="651"/>
      <c r="LMG266" s="691"/>
      <c r="LMH266" s="651"/>
      <c r="LMI266" s="691"/>
      <c r="LMJ266" s="651"/>
      <c r="LMK266" s="691"/>
      <c r="LML266" s="651"/>
      <c r="LMM266" s="691"/>
      <c r="LMN266" s="651"/>
      <c r="LMO266" s="691"/>
      <c r="LMP266" s="651"/>
      <c r="LMQ266" s="691"/>
      <c r="LMR266" s="651"/>
      <c r="LMS266" s="691"/>
      <c r="LMT266" s="651"/>
      <c r="LMU266" s="691"/>
      <c r="LMV266" s="651"/>
      <c r="LMW266" s="691"/>
      <c r="LMX266" s="651"/>
      <c r="LMY266" s="691"/>
      <c r="LMZ266" s="651"/>
      <c r="LNA266" s="691"/>
      <c r="LNB266" s="651"/>
      <c r="LNC266" s="691"/>
      <c r="LND266" s="651"/>
      <c r="LNE266" s="691"/>
      <c r="LNF266" s="651"/>
      <c r="LNG266" s="691"/>
      <c r="LNH266" s="651"/>
      <c r="LNI266" s="691"/>
      <c r="LNJ266" s="651"/>
      <c r="LNK266" s="691"/>
      <c r="LNL266" s="651"/>
      <c r="LNM266" s="691"/>
      <c r="LNN266" s="651"/>
      <c r="LNO266" s="691"/>
      <c r="LNP266" s="651"/>
      <c r="LNQ266" s="691"/>
      <c r="LNR266" s="651"/>
      <c r="LNS266" s="691"/>
      <c r="LNT266" s="651"/>
      <c r="LNU266" s="691"/>
      <c r="LNV266" s="651"/>
      <c r="LNW266" s="691"/>
      <c r="LNX266" s="651"/>
      <c r="LNY266" s="691"/>
      <c r="LNZ266" s="651"/>
      <c r="LOA266" s="691"/>
      <c r="LOB266" s="651"/>
      <c r="LOC266" s="691"/>
      <c r="LOD266" s="651"/>
      <c r="LOE266" s="691"/>
      <c r="LOF266" s="651"/>
      <c r="LOG266" s="691"/>
      <c r="LOH266" s="651"/>
      <c r="LOI266" s="691"/>
      <c r="LOJ266" s="651"/>
      <c r="LOK266" s="691"/>
      <c r="LOL266" s="651"/>
      <c r="LOM266" s="691"/>
      <c r="LON266" s="651"/>
      <c r="LOO266" s="691"/>
      <c r="LOP266" s="651"/>
      <c r="LOQ266" s="691"/>
      <c r="LOR266" s="651"/>
      <c r="LOS266" s="691"/>
      <c r="LOT266" s="651"/>
      <c r="LOU266" s="691"/>
      <c r="LOV266" s="651"/>
      <c r="LOW266" s="691"/>
      <c r="LOX266" s="651"/>
      <c r="LOY266" s="691"/>
      <c r="LOZ266" s="651"/>
      <c r="LPA266" s="691"/>
      <c r="LPB266" s="651"/>
      <c r="LPC266" s="691"/>
      <c r="LPD266" s="651"/>
      <c r="LPE266" s="691"/>
      <c r="LPF266" s="651"/>
      <c r="LPG266" s="691"/>
      <c r="LPH266" s="651"/>
      <c r="LPI266" s="691"/>
      <c r="LPJ266" s="651"/>
      <c r="LPK266" s="691"/>
      <c r="LPL266" s="651"/>
      <c r="LPM266" s="691"/>
      <c r="LPN266" s="651"/>
      <c r="LPO266" s="691"/>
      <c r="LPP266" s="651"/>
      <c r="LPQ266" s="691"/>
      <c r="LPR266" s="651"/>
      <c r="LPS266" s="691"/>
      <c r="LPT266" s="651"/>
      <c r="LPU266" s="691"/>
      <c r="LPV266" s="651"/>
      <c r="LPW266" s="691"/>
      <c r="LPX266" s="651"/>
      <c r="LPY266" s="691"/>
      <c r="LPZ266" s="651"/>
      <c r="LQA266" s="691"/>
      <c r="LQB266" s="651"/>
      <c r="LQC266" s="691"/>
      <c r="LQD266" s="651"/>
      <c r="LQE266" s="691"/>
      <c r="LQF266" s="651"/>
      <c r="LQG266" s="691"/>
      <c r="LQH266" s="651"/>
      <c r="LQI266" s="691"/>
      <c r="LQJ266" s="651"/>
      <c r="LQK266" s="691"/>
      <c r="LQL266" s="651"/>
      <c r="LQM266" s="691"/>
      <c r="LQN266" s="651"/>
      <c r="LQO266" s="691"/>
      <c r="LQP266" s="651"/>
      <c r="LQQ266" s="691"/>
      <c r="LQR266" s="651"/>
      <c r="LQS266" s="691"/>
      <c r="LQT266" s="651"/>
      <c r="LQU266" s="691"/>
      <c r="LQV266" s="651"/>
      <c r="LQW266" s="691"/>
      <c r="LQX266" s="651"/>
      <c r="LQY266" s="691"/>
      <c r="LQZ266" s="651"/>
      <c r="LRA266" s="691"/>
      <c r="LRB266" s="651"/>
      <c r="LRC266" s="691"/>
      <c r="LRD266" s="651"/>
      <c r="LRE266" s="691"/>
      <c r="LRF266" s="651"/>
      <c r="LRG266" s="691"/>
      <c r="LRH266" s="651"/>
      <c r="LRI266" s="691"/>
      <c r="LRJ266" s="651"/>
      <c r="LRK266" s="691"/>
      <c r="LRL266" s="651"/>
      <c r="LRM266" s="691"/>
      <c r="LRN266" s="651"/>
      <c r="LRO266" s="691"/>
      <c r="LRP266" s="651"/>
      <c r="LRQ266" s="691"/>
      <c r="LRR266" s="651"/>
      <c r="LRS266" s="691"/>
      <c r="LRT266" s="651"/>
      <c r="LRU266" s="691"/>
      <c r="LRV266" s="651"/>
      <c r="LRW266" s="691"/>
      <c r="LRX266" s="651"/>
      <c r="LRY266" s="691"/>
      <c r="LRZ266" s="651"/>
      <c r="LSA266" s="691"/>
      <c r="LSB266" s="651"/>
      <c r="LSC266" s="691"/>
      <c r="LSD266" s="651"/>
      <c r="LSE266" s="691"/>
      <c r="LSF266" s="651"/>
      <c r="LSG266" s="691"/>
      <c r="LSH266" s="651"/>
      <c r="LSI266" s="691"/>
      <c r="LSJ266" s="651"/>
      <c r="LSK266" s="691"/>
      <c r="LSL266" s="651"/>
      <c r="LSM266" s="691"/>
      <c r="LSN266" s="651"/>
      <c r="LSO266" s="691"/>
      <c r="LSP266" s="651"/>
      <c r="LSQ266" s="691"/>
      <c r="LSR266" s="651"/>
      <c r="LSS266" s="691"/>
      <c r="LST266" s="651"/>
      <c r="LSU266" s="691"/>
      <c r="LSV266" s="651"/>
      <c r="LSW266" s="691"/>
      <c r="LSX266" s="651"/>
      <c r="LSY266" s="691"/>
      <c r="LSZ266" s="651"/>
      <c r="LTA266" s="691"/>
      <c r="LTB266" s="651"/>
      <c r="LTC266" s="691"/>
      <c r="LTD266" s="651"/>
      <c r="LTE266" s="691"/>
      <c r="LTF266" s="651"/>
      <c r="LTG266" s="691"/>
      <c r="LTH266" s="651"/>
      <c r="LTI266" s="691"/>
      <c r="LTJ266" s="651"/>
      <c r="LTK266" s="691"/>
      <c r="LTL266" s="651"/>
      <c r="LTM266" s="691"/>
      <c r="LTN266" s="651"/>
      <c r="LTO266" s="691"/>
      <c r="LTP266" s="651"/>
      <c r="LTQ266" s="691"/>
      <c r="LTR266" s="651"/>
      <c r="LTS266" s="691"/>
      <c r="LTT266" s="651"/>
      <c r="LTU266" s="691"/>
      <c r="LTV266" s="651"/>
      <c r="LTW266" s="691"/>
      <c r="LTX266" s="651"/>
      <c r="LTY266" s="691"/>
      <c r="LTZ266" s="651"/>
      <c r="LUA266" s="691"/>
      <c r="LUB266" s="651"/>
      <c r="LUC266" s="691"/>
      <c r="LUD266" s="651"/>
      <c r="LUE266" s="691"/>
      <c r="LUF266" s="651"/>
      <c r="LUG266" s="691"/>
      <c r="LUH266" s="651"/>
      <c r="LUI266" s="691"/>
      <c r="LUJ266" s="651"/>
      <c r="LUK266" s="691"/>
      <c r="LUL266" s="651"/>
      <c r="LUM266" s="691"/>
      <c r="LUN266" s="651"/>
      <c r="LUO266" s="691"/>
      <c r="LUP266" s="651"/>
      <c r="LUQ266" s="691"/>
      <c r="LUR266" s="651"/>
      <c r="LUS266" s="691"/>
      <c r="LUT266" s="651"/>
      <c r="LUU266" s="691"/>
      <c r="LUV266" s="651"/>
      <c r="LUW266" s="691"/>
      <c r="LUX266" s="651"/>
      <c r="LUY266" s="691"/>
      <c r="LUZ266" s="651"/>
      <c r="LVA266" s="691"/>
      <c r="LVB266" s="651"/>
      <c r="LVC266" s="691"/>
      <c r="LVD266" s="651"/>
      <c r="LVE266" s="691"/>
      <c r="LVF266" s="651"/>
      <c r="LVG266" s="691"/>
      <c r="LVH266" s="651"/>
      <c r="LVI266" s="691"/>
      <c r="LVJ266" s="651"/>
      <c r="LVK266" s="691"/>
      <c r="LVL266" s="651"/>
      <c r="LVM266" s="691"/>
      <c r="LVN266" s="651"/>
      <c r="LVO266" s="691"/>
      <c r="LVP266" s="651"/>
      <c r="LVQ266" s="691"/>
      <c r="LVR266" s="651"/>
      <c r="LVS266" s="691"/>
      <c r="LVT266" s="651"/>
      <c r="LVU266" s="691"/>
      <c r="LVV266" s="651"/>
      <c r="LVW266" s="691"/>
      <c r="LVX266" s="651"/>
      <c r="LVY266" s="691"/>
      <c r="LVZ266" s="651"/>
      <c r="LWA266" s="691"/>
      <c r="LWB266" s="651"/>
      <c r="LWC266" s="691"/>
      <c r="LWD266" s="651"/>
      <c r="LWE266" s="691"/>
      <c r="LWF266" s="651"/>
      <c r="LWG266" s="691"/>
      <c r="LWH266" s="651"/>
      <c r="LWI266" s="691"/>
      <c r="LWJ266" s="651"/>
      <c r="LWK266" s="691"/>
      <c r="LWL266" s="651"/>
      <c r="LWM266" s="691"/>
      <c r="LWN266" s="651"/>
      <c r="LWO266" s="691"/>
      <c r="LWP266" s="651"/>
      <c r="LWQ266" s="691"/>
      <c r="LWR266" s="651"/>
      <c r="LWS266" s="691"/>
      <c r="LWT266" s="651"/>
      <c r="LWU266" s="691"/>
      <c r="LWV266" s="651"/>
      <c r="LWW266" s="691"/>
      <c r="LWX266" s="651"/>
      <c r="LWY266" s="691"/>
      <c r="LWZ266" s="651"/>
      <c r="LXA266" s="691"/>
      <c r="LXB266" s="651"/>
      <c r="LXC266" s="691"/>
      <c r="LXD266" s="651"/>
      <c r="LXE266" s="691"/>
      <c r="LXF266" s="651"/>
      <c r="LXG266" s="691"/>
      <c r="LXH266" s="651"/>
      <c r="LXI266" s="691"/>
      <c r="LXJ266" s="651"/>
      <c r="LXK266" s="691"/>
      <c r="LXL266" s="651"/>
      <c r="LXM266" s="691"/>
      <c r="LXN266" s="651"/>
      <c r="LXO266" s="691"/>
      <c r="LXP266" s="651"/>
      <c r="LXQ266" s="691"/>
      <c r="LXR266" s="651"/>
      <c r="LXS266" s="691"/>
      <c r="LXT266" s="651"/>
      <c r="LXU266" s="691"/>
      <c r="LXV266" s="651"/>
      <c r="LXW266" s="691"/>
      <c r="LXX266" s="651"/>
      <c r="LXY266" s="691"/>
      <c r="LXZ266" s="651"/>
      <c r="LYA266" s="691"/>
      <c r="LYB266" s="651"/>
      <c r="LYC266" s="691"/>
      <c r="LYD266" s="651"/>
      <c r="LYE266" s="691"/>
      <c r="LYF266" s="651"/>
      <c r="LYG266" s="691"/>
      <c r="LYH266" s="651"/>
      <c r="LYI266" s="691"/>
      <c r="LYJ266" s="651"/>
      <c r="LYK266" s="691"/>
      <c r="LYL266" s="651"/>
      <c r="LYM266" s="691"/>
      <c r="LYN266" s="651"/>
      <c r="LYO266" s="691"/>
      <c r="LYP266" s="651"/>
      <c r="LYQ266" s="691"/>
      <c r="LYR266" s="651"/>
      <c r="LYS266" s="691"/>
      <c r="LYT266" s="651"/>
      <c r="LYU266" s="691"/>
      <c r="LYV266" s="651"/>
      <c r="LYW266" s="691"/>
      <c r="LYX266" s="651"/>
      <c r="LYY266" s="691"/>
      <c r="LYZ266" s="651"/>
      <c r="LZA266" s="691"/>
      <c r="LZB266" s="651"/>
      <c r="LZC266" s="691"/>
      <c r="LZD266" s="651"/>
      <c r="LZE266" s="691"/>
      <c r="LZF266" s="651"/>
      <c r="LZG266" s="691"/>
      <c r="LZH266" s="651"/>
      <c r="LZI266" s="691"/>
      <c r="LZJ266" s="651"/>
      <c r="LZK266" s="691"/>
      <c r="LZL266" s="651"/>
      <c r="LZM266" s="691"/>
      <c r="LZN266" s="651"/>
      <c r="LZO266" s="691"/>
      <c r="LZP266" s="651"/>
      <c r="LZQ266" s="691"/>
      <c r="LZR266" s="651"/>
      <c r="LZS266" s="691"/>
      <c r="LZT266" s="651"/>
      <c r="LZU266" s="691"/>
      <c r="LZV266" s="651"/>
      <c r="LZW266" s="691"/>
      <c r="LZX266" s="651"/>
      <c r="LZY266" s="691"/>
      <c r="LZZ266" s="651"/>
      <c r="MAA266" s="691"/>
      <c r="MAB266" s="651"/>
      <c r="MAC266" s="691"/>
      <c r="MAD266" s="651"/>
      <c r="MAE266" s="691"/>
      <c r="MAF266" s="651"/>
      <c r="MAG266" s="691"/>
      <c r="MAH266" s="651"/>
      <c r="MAI266" s="691"/>
      <c r="MAJ266" s="651"/>
      <c r="MAK266" s="691"/>
      <c r="MAL266" s="651"/>
      <c r="MAM266" s="691"/>
      <c r="MAN266" s="651"/>
      <c r="MAO266" s="691"/>
      <c r="MAP266" s="651"/>
      <c r="MAQ266" s="691"/>
      <c r="MAR266" s="651"/>
      <c r="MAS266" s="691"/>
      <c r="MAT266" s="651"/>
      <c r="MAU266" s="691"/>
      <c r="MAV266" s="651"/>
      <c r="MAW266" s="691"/>
      <c r="MAX266" s="651"/>
      <c r="MAY266" s="691"/>
      <c r="MAZ266" s="651"/>
      <c r="MBA266" s="691"/>
      <c r="MBB266" s="651"/>
      <c r="MBC266" s="691"/>
      <c r="MBD266" s="651"/>
      <c r="MBE266" s="691"/>
      <c r="MBF266" s="651"/>
      <c r="MBG266" s="691"/>
      <c r="MBH266" s="651"/>
      <c r="MBI266" s="691"/>
      <c r="MBJ266" s="651"/>
      <c r="MBK266" s="691"/>
      <c r="MBL266" s="651"/>
      <c r="MBM266" s="691"/>
      <c r="MBN266" s="651"/>
      <c r="MBO266" s="691"/>
      <c r="MBP266" s="651"/>
      <c r="MBQ266" s="691"/>
      <c r="MBR266" s="651"/>
      <c r="MBS266" s="691"/>
      <c r="MBT266" s="651"/>
      <c r="MBU266" s="691"/>
      <c r="MBV266" s="651"/>
      <c r="MBW266" s="691"/>
      <c r="MBX266" s="651"/>
      <c r="MBY266" s="691"/>
      <c r="MBZ266" s="651"/>
      <c r="MCA266" s="691"/>
      <c r="MCB266" s="651"/>
      <c r="MCC266" s="691"/>
      <c r="MCD266" s="651"/>
      <c r="MCE266" s="691"/>
      <c r="MCF266" s="651"/>
      <c r="MCG266" s="691"/>
      <c r="MCH266" s="651"/>
      <c r="MCI266" s="691"/>
      <c r="MCJ266" s="651"/>
      <c r="MCK266" s="691"/>
      <c r="MCL266" s="651"/>
      <c r="MCM266" s="691"/>
      <c r="MCN266" s="651"/>
      <c r="MCO266" s="691"/>
      <c r="MCP266" s="651"/>
      <c r="MCQ266" s="691"/>
      <c r="MCR266" s="651"/>
      <c r="MCS266" s="691"/>
      <c r="MCT266" s="651"/>
      <c r="MCU266" s="691"/>
      <c r="MCV266" s="651"/>
      <c r="MCW266" s="691"/>
      <c r="MCX266" s="651"/>
      <c r="MCY266" s="691"/>
      <c r="MCZ266" s="651"/>
      <c r="MDA266" s="691"/>
      <c r="MDB266" s="651"/>
      <c r="MDC266" s="691"/>
      <c r="MDD266" s="651"/>
      <c r="MDE266" s="691"/>
      <c r="MDF266" s="651"/>
      <c r="MDG266" s="691"/>
      <c r="MDH266" s="651"/>
      <c r="MDI266" s="691"/>
      <c r="MDJ266" s="651"/>
      <c r="MDK266" s="691"/>
      <c r="MDL266" s="651"/>
      <c r="MDM266" s="691"/>
      <c r="MDN266" s="651"/>
      <c r="MDO266" s="691"/>
      <c r="MDP266" s="651"/>
      <c r="MDQ266" s="691"/>
      <c r="MDR266" s="651"/>
      <c r="MDS266" s="691"/>
      <c r="MDT266" s="651"/>
      <c r="MDU266" s="691"/>
      <c r="MDV266" s="651"/>
      <c r="MDW266" s="691"/>
      <c r="MDX266" s="651"/>
      <c r="MDY266" s="691"/>
      <c r="MDZ266" s="651"/>
      <c r="MEA266" s="691"/>
      <c r="MEB266" s="651"/>
      <c r="MEC266" s="691"/>
      <c r="MED266" s="651"/>
      <c r="MEE266" s="691"/>
      <c r="MEF266" s="651"/>
      <c r="MEG266" s="691"/>
      <c r="MEH266" s="651"/>
      <c r="MEI266" s="691"/>
      <c r="MEJ266" s="651"/>
      <c r="MEK266" s="691"/>
      <c r="MEL266" s="651"/>
      <c r="MEM266" s="691"/>
      <c r="MEN266" s="651"/>
      <c r="MEO266" s="691"/>
      <c r="MEP266" s="651"/>
      <c r="MEQ266" s="691"/>
      <c r="MER266" s="651"/>
      <c r="MES266" s="691"/>
      <c r="MET266" s="651"/>
      <c r="MEU266" s="691"/>
      <c r="MEV266" s="651"/>
      <c r="MEW266" s="691"/>
      <c r="MEX266" s="651"/>
      <c r="MEY266" s="691"/>
      <c r="MEZ266" s="651"/>
      <c r="MFA266" s="691"/>
      <c r="MFB266" s="651"/>
      <c r="MFC266" s="691"/>
      <c r="MFD266" s="651"/>
      <c r="MFE266" s="691"/>
      <c r="MFF266" s="651"/>
      <c r="MFG266" s="691"/>
      <c r="MFH266" s="651"/>
      <c r="MFI266" s="691"/>
      <c r="MFJ266" s="651"/>
      <c r="MFK266" s="691"/>
      <c r="MFL266" s="651"/>
      <c r="MFM266" s="691"/>
      <c r="MFN266" s="651"/>
      <c r="MFO266" s="691"/>
      <c r="MFP266" s="651"/>
      <c r="MFQ266" s="691"/>
      <c r="MFR266" s="651"/>
      <c r="MFS266" s="691"/>
      <c r="MFT266" s="651"/>
      <c r="MFU266" s="691"/>
      <c r="MFV266" s="651"/>
      <c r="MFW266" s="691"/>
      <c r="MFX266" s="651"/>
      <c r="MFY266" s="691"/>
      <c r="MFZ266" s="651"/>
      <c r="MGA266" s="691"/>
      <c r="MGB266" s="651"/>
      <c r="MGC266" s="691"/>
      <c r="MGD266" s="651"/>
      <c r="MGE266" s="691"/>
      <c r="MGF266" s="651"/>
      <c r="MGG266" s="691"/>
      <c r="MGH266" s="651"/>
      <c r="MGI266" s="691"/>
      <c r="MGJ266" s="651"/>
      <c r="MGK266" s="691"/>
      <c r="MGL266" s="651"/>
      <c r="MGM266" s="691"/>
      <c r="MGN266" s="651"/>
      <c r="MGO266" s="691"/>
      <c r="MGP266" s="651"/>
      <c r="MGQ266" s="691"/>
      <c r="MGR266" s="651"/>
      <c r="MGS266" s="691"/>
      <c r="MGT266" s="651"/>
      <c r="MGU266" s="691"/>
      <c r="MGV266" s="651"/>
      <c r="MGW266" s="691"/>
      <c r="MGX266" s="651"/>
      <c r="MGY266" s="691"/>
      <c r="MGZ266" s="651"/>
      <c r="MHA266" s="691"/>
      <c r="MHB266" s="651"/>
      <c r="MHC266" s="691"/>
      <c r="MHD266" s="651"/>
      <c r="MHE266" s="691"/>
      <c r="MHF266" s="651"/>
      <c r="MHG266" s="691"/>
      <c r="MHH266" s="651"/>
      <c r="MHI266" s="691"/>
      <c r="MHJ266" s="651"/>
      <c r="MHK266" s="691"/>
      <c r="MHL266" s="651"/>
      <c r="MHM266" s="691"/>
      <c r="MHN266" s="651"/>
      <c r="MHO266" s="691"/>
      <c r="MHP266" s="651"/>
      <c r="MHQ266" s="691"/>
      <c r="MHR266" s="651"/>
      <c r="MHS266" s="691"/>
      <c r="MHT266" s="651"/>
      <c r="MHU266" s="691"/>
      <c r="MHV266" s="651"/>
      <c r="MHW266" s="691"/>
      <c r="MHX266" s="651"/>
      <c r="MHY266" s="691"/>
      <c r="MHZ266" s="651"/>
      <c r="MIA266" s="691"/>
      <c r="MIB266" s="651"/>
      <c r="MIC266" s="691"/>
      <c r="MID266" s="651"/>
      <c r="MIE266" s="691"/>
      <c r="MIF266" s="651"/>
      <c r="MIG266" s="691"/>
      <c r="MIH266" s="651"/>
      <c r="MII266" s="691"/>
      <c r="MIJ266" s="651"/>
      <c r="MIK266" s="691"/>
      <c r="MIL266" s="651"/>
      <c r="MIM266" s="691"/>
      <c r="MIN266" s="651"/>
      <c r="MIO266" s="691"/>
      <c r="MIP266" s="651"/>
      <c r="MIQ266" s="691"/>
      <c r="MIR266" s="651"/>
      <c r="MIS266" s="691"/>
      <c r="MIT266" s="651"/>
      <c r="MIU266" s="691"/>
      <c r="MIV266" s="651"/>
      <c r="MIW266" s="691"/>
      <c r="MIX266" s="651"/>
      <c r="MIY266" s="691"/>
      <c r="MIZ266" s="651"/>
      <c r="MJA266" s="691"/>
      <c r="MJB266" s="651"/>
      <c r="MJC266" s="691"/>
      <c r="MJD266" s="651"/>
      <c r="MJE266" s="691"/>
      <c r="MJF266" s="651"/>
      <c r="MJG266" s="691"/>
      <c r="MJH266" s="651"/>
      <c r="MJI266" s="691"/>
      <c r="MJJ266" s="651"/>
      <c r="MJK266" s="691"/>
      <c r="MJL266" s="651"/>
      <c r="MJM266" s="691"/>
      <c r="MJN266" s="651"/>
      <c r="MJO266" s="691"/>
      <c r="MJP266" s="651"/>
      <c r="MJQ266" s="691"/>
      <c r="MJR266" s="651"/>
      <c r="MJS266" s="691"/>
      <c r="MJT266" s="651"/>
      <c r="MJU266" s="691"/>
      <c r="MJV266" s="651"/>
      <c r="MJW266" s="691"/>
      <c r="MJX266" s="651"/>
      <c r="MJY266" s="691"/>
      <c r="MJZ266" s="651"/>
      <c r="MKA266" s="691"/>
      <c r="MKB266" s="651"/>
      <c r="MKC266" s="691"/>
      <c r="MKD266" s="651"/>
      <c r="MKE266" s="691"/>
      <c r="MKF266" s="651"/>
      <c r="MKG266" s="691"/>
      <c r="MKH266" s="651"/>
      <c r="MKI266" s="691"/>
      <c r="MKJ266" s="651"/>
      <c r="MKK266" s="691"/>
      <c r="MKL266" s="651"/>
      <c r="MKM266" s="691"/>
      <c r="MKN266" s="651"/>
      <c r="MKO266" s="691"/>
      <c r="MKP266" s="651"/>
      <c r="MKQ266" s="691"/>
      <c r="MKR266" s="651"/>
      <c r="MKS266" s="691"/>
      <c r="MKT266" s="651"/>
      <c r="MKU266" s="691"/>
      <c r="MKV266" s="651"/>
      <c r="MKW266" s="691"/>
      <c r="MKX266" s="651"/>
      <c r="MKY266" s="691"/>
      <c r="MKZ266" s="651"/>
      <c r="MLA266" s="691"/>
      <c r="MLB266" s="651"/>
      <c r="MLC266" s="691"/>
      <c r="MLD266" s="651"/>
      <c r="MLE266" s="691"/>
      <c r="MLF266" s="651"/>
      <c r="MLG266" s="691"/>
      <c r="MLH266" s="651"/>
      <c r="MLI266" s="691"/>
      <c r="MLJ266" s="651"/>
      <c r="MLK266" s="691"/>
      <c r="MLL266" s="651"/>
      <c r="MLM266" s="691"/>
      <c r="MLN266" s="651"/>
      <c r="MLO266" s="691"/>
      <c r="MLP266" s="651"/>
      <c r="MLQ266" s="691"/>
      <c r="MLR266" s="651"/>
      <c r="MLS266" s="691"/>
      <c r="MLT266" s="651"/>
      <c r="MLU266" s="691"/>
      <c r="MLV266" s="651"/>
      <c r="MLW266" s="691"/>
      <c r="MLX266" s="651"/>
      <c r="MLY266" s="691"/>
      <c r="MLZ266" s="651"/>
      <c r="MMA266" s="691"/>
      <c r="MMB266" s="651"/>
      <c r="MMC266" s="691"/>
      <c r="MMD266" s="651"/>
      <c r="MME266" s="691"/>
      <c r="MMF266" s="651"/>
      <c r="MMG266" s="691"/>
      <c r="MMH266" s="651"/>
      <c r="MMI266" s="691"/>
      <c r="MMJ266" s="651"/>
      <c r="MMK266" s="691"/>
      <c r="MML266" s="651"/>
      <c r="MMM266" s="691"/>
      <c r="MMN266" s="651"/>
      <c r="MMO266" s="691"/>
      <c r="MMP266" s="651"/>
      <c r="MMQ266" s="691"/>
      <c r="MMR266" s="651"/>
      <c r="MMS266" s="691"/>
      <c r="MMT266" s="651"/>
      <c r="MMU266" s="691"/>
      <c r="MMV266" s="651"/>
      <c r="MMW266" s="691"/>
      <c r="MMX266" s="651"/>
      <c r="MMY266" s="691"/>
      <c r="MMZ266" s="651"/>
      <c r="MNA266" s="691"/>
      <c r="MNB266" s="651"/>
      <c r="MNC266" s="691"/>
      <c r="MND266" s="651"/>
      <c r="MNE266" s="691"/>
      <c r="MNF266" s="651"/>
      <c r="MNG266" s="691"/>
      <c r="MNH266" s="651"/>
      <c r="MNI266" s="691"/>
      <c r="MNJ266" s="651"/>
      <c r="MNK266" s="691"/>
      <c r="MNL266" s="651"/>
      <c r="MNM266" s="691"/>
      <c r="MNN266" s="651"/>
      <c r="MNO266" s="691"/>
      <c r="MNP266" s="651"/>
      <c r="MNQ266" s="691"/>
      <c r="MNR266" s="651"/>
      <c r="MNS266" s="691"/>
      <c r="MNT266" s="651"/>
      <c r="MNU266" s="691"/>
      <c r="MNV266" s="651"/>
      <c r="MNW266" s="691"/>
      <c r="MNX266" s="651"/>
      <c r="MNY266" s="691"/>
      <c r="MNZ266" s="651"/>
      <c r="MOA266" s="691"/>
      <c r="MOB266" s="651"/>
      <c r="MOC266" s="691"/>
      <c r="MOD266" s="651"/>
      <c r="MOE266" s="691"/>
      <c r="MOF266" s="651"/>
      <c r="MOG266" s="691"/>
      <c r="MOH266" s="651"/>
      <c r="MOI266" s="691"/>
      <c r="MOJ266" s="651"/>
      <c r="MOK266" s="691"/>
      <c r="MOL266" s="651"/>
      <c r="MOM266" s="691"/>
      <c r="MON266" s="651"/>
      <c r="MOO266" s="691"/>
      <c r="MOP266" s="651"/>
      <c r="MOQ266" s="691"/>
      <c r="MOR266" s="651"/>
      <c r="MOS266" s="691"/>
      <c r="MOT266" s="651"/>
      <c r="MOU266" s="691"/>
      <c r="MOV266" s="651"/>
      <c r="MOW266" s="691"/>
      <c r="MOX266" s="651"/>
      <c r="MOY266" s="691"/>
      <c r="MOZ266" s="651"/>
      <c r="MPA266" s="691"/>
      <c r="MPB266" s="651"/>
      <c r="MPC266" s="691"/>
      <c r="MPD266" s="651"/>
      <c r="MPE266" s="691"/>
      <c r="MPF266" s="651"/>
      <c r="MPG266" s="691"/>
      <c r="MPH266" s="651"/>
      <c r="MPI266" s="691"/>
      <c r="MPJ266" s="651"/>
      <c r="MPK266" s="691"/>
      <c r="MPL266" s="651"/>
      <c r="MPM266" s="691"/>
      <c r="MPN266" s="651"/>
      <c r="MPO266" s="691"/>
      <c r="MPP266" s="651"/>
      <c r="MPQ266" s="691"/>
      <c r="MPR266" s="651"/>
      <c r="MPS266" s="691"/>
      <c r="MPT266" s="651"/>
      <c r="MPU266" s="691"/>
      <c r="MPV266" s="651"/>
      <c r="MPW266" s="691"/>
      <c r="MPX266" s="651"/>
      <c r="MPY266" s="691"/>
      <c r="MPZ266" s="651"/>
      <c r="MQA266" s="691"/>
      <c r="MQB266" s="651"/>
      <c r="MQC266" s="691"/>
      <c r="MQD266" s="651"/>
      <c r="MQE266" s="691"/>
      <c r="MQF266" s="651"/>
      <c r="MQG266" s="691"/>
      <c r="MQH266" s="651"/>
      <c r="MQI266" s="691"/>
      <c r="MQJ266" s="651"/>
      <c r="MQK266" s="691"/>
      <c r="MQL266" s="651"/>
      <c r="MQM266" s="691"/>
      <c r="MQN266" s="651"/>
      <c r="MQO266" s="691"/>
      <c r="MQP266" s="651"/>
      <c r="MQQ266" s="691"/>
      <c r="MQR266" s="651"/>
      <c r="MQS266" s="691"/>
      <c r="MQT266" s="651"/>
      <c r="MQU266" s="691"/>
      <c r="MQV266" s="651"/>
      <c r="MQW266" s="691"/>
      <c r="MQX266" s="651"/>
      <c r="MQY266" s="691"/>
      <c r="MQZ266" s="651"/>
      <c r="MRA266" s="691"/>
      <c r="MRB266" s="651"/>
      <c r="MRC266" s="691"/>
      <c r="MRD266" s="651"/>
      <c r="MRE266" s="691"/>
      <c r="MRF266" s="651"/>
      <c r="MRG266" s="691"/>
      <c r="MRH266" s="651"/>
      <c r="MRI266" s="691"/>
      <c r="MRJ266" s="651"/>
      <c r="MRK266" s="691"/>
      <c r="MRL266" s="651"/>
      <c r="MRM266" s="691"/>
      <c r="MRN266" s="651"/>
      <c r="MRO266" s="691"/>
      <c r="MRP266" s="651"/>
      <c r="MRQ266" s="691"/>
      <c r="MRR266" s="651"/>
      <c r="MRS266" s="691"/>
      <c r="MRT266" s="651"/>
      <c r="MRU266" s="691"/>
      <c r="MRV266" s="651"/>
      <c r="MRW266" s="691"/>
      <c r="MRX266" s="651"/>
      <c r="MRY266" s="691"/>
      <c r="MRZ266" s="651"/>
      <c r="MSA266" s="691"/>
      <c r="MSB266" s="651"/>
      <c r="MSC266" s="691"/>
      <c r="MSD266" s="651"/>
      <c r="MSE266" s="691"/>
      <c r="MSF266" s="651"/>
      <c r="MSG266" s="691"/>
      <c r="MSH266" s="651"/>
      <c r="MSI266" s="691"/>
      <c r="MSJ266" s="651"/>
      <c r="MSK266" s="691"/>
      <c r="MSL266" s="651"/>
      <c r="MSM266" s="691"/>
      <c r="MSN266" s="651"/>
      <c r="MSO266" s="691"/>
      <c r="MSP266" s="651"/>
      <c r="MSQ266" s="691"/>
      <c r="MSR266" s="651"/>
      <c r="MSS266" s="691"/>
      <c r="MST266" s="651"/>
      <c r="MSU266" s="691"/>
      <c r="MSV266" s="651"/>
      <c r="MSW266" s="691"/>
      <c r="MSX266" s="651"/>
      <c r="MSY266" s="691"/>
      <c r="MSZ266" s="651"/>
      <c r="MTA266" s="691"/>
      <c r="MTB266" s="651"/>
      <c r="MTC266" s="691"/>
      <c r="MTD266" s="651"/>
      <c r="MTE266" s="691"/>
      <c r="MTF266" s="651"/>
      <c r="MTG266" s="691"/>
      <c r="MTH266" s="651"/>
      <c r="MTI266" s="691"/>
      <c r="MTJ266" s="651"/>
      <c r="MTK266" s="691"/>
      <c r="MTL266" s="651"/>
      <c r="MTM266" s="691"/>
      <c r="MTN266" s="651"/>
      <c r="MTO266" s="691"/>
      <c r="MTP266" s="651"/>
      <c r="MTQ266" s="691"/>
      <c r="MTR266" s="651"/>
      <c r="MTS266" s="691"/>
      <c r="MTT266" s="651"/>
      <c r="MTU266" s="691"/>
      <c r="MTV266" s="651"/>
      <c r="MTW266" s="691"/>
      <c r="MTX266" s="651"/>
      <c r="MTY266" s="691"/>
      <c r="MTZ266" s="651"/>
      <c r="MUA266" s="691"/>
      <c r="MUB266" s="651"/>
      <c r="MUC266" s="691"/>
      <c r="MUD266" s="651"/>
      <c r="MUE266" s="691"/>
      <c r="MUF266" s="651"/>
      <c r="MUG266" s="691"/>
      <c r="MUH266" s="651"/>
      <c r="MUI266" s="691"/>
      <c r="MUJ266" s="651"/>
      <c r="MUK266" s="691"/>
      <c r="MUL266" s="651"/>
      <c r="MUM266" s="691"/>
      <c r="MUN266" s="651"/>
      <c r="MUO266" s="691"/>
      <c r="MUP266" s="651"/>
      <c r="MUQ266" s="691"/>
      <c r="MUR266" s="651"/>
      <c r="MUS266" s="691"/>
      <c r="MUT266" s="651"/>
      <c r="MUU266" s="691"/>
      <c r="MUV266" s="651"/>
      <c r="MUW266" s="691"/>
      <c r="MUX266" s="651"/>
      <c r="MUY266" s="691"/>
      <c r="MUZ266" s="651"/>
      <c r="MVA266" s="691"/>
      <c r="MVB266" s="651"/>
      <c r="MVC266" s="691"/>
      <c r="MVD266" s="651"/>
      <c r="MVE266" s="691"/>
      <c r="MVF266" s="651"/>
      <c r="MVG266" s="691"/>
      <c r="MVH266" s="651"/>
      <c r="MVI266" s="691"/>
      <c r="MVJ266" s="651"/>
      <c r="MVK266" s="691"/>
      <c r="MVL266" s="651"/>
      <c r="MVM266" s="691"/>
      <c r="MVN266" s="651"/>
      <c r="MVO266" s="691"/>
      <c r="MVP266" s="651"/>
      <c r="MVQ266" s="691"/>
      <c r="MVR266" s="651"/>
      <c r="MVS266" s="691"/>
      <c r="MVT266" s="651"/>
      <c r="MVU266" s="691"/>
      <c r="MVV266" s="651"/>
      <c r="MVW266" s="691"/>
      <c r="MVX266" s="651"/>
      <c r="MVY266" s="691"/>
      <c r="MVZ266" s="651"/>
      <c r="MWA266" s="691"/>
      <c r="MWB266" s="651"/>
      <c r="MWC266" s="691"/>
      <c r="MWD266" s="651"/>
      <c r="MWE266" s="691"/>
      <c r="MWF266" s="651"/>
      <c r="MWG266" s="691"/>
      <c r="MWH266" s="651"/>
      <c r="MWI266" s="691"/>
      <c r="MWJ266" s="651"/>
      <c r="MWK266" s="691"/>
      <c r="MWL266" s="651"/>
      <c r="MWM266" s="691"/>
      <c r="MWN266" s="651"/>
      <c r="MWO266" s="691"/>
      <c r="MWP266" s="651"/>
      <c r="MWQ266" s="691"/>
      <c r="MWR266" s="651"/>
      <c r="MWS266" s="691"/>
      <c r="MWT266" s="651"/>
      <c r="MWU266" s="691"/>
      <c r="MWV266" s="651"/>
      <c r="MWW266" s="691"/>
      <c r="MWX266" s="651"/>
      <c r="MWY266" s="691"/>
      <c r="MWZ266" s="651"/>
      <c r="MXA266" s="691"/>
      <c r="MXB266" s="651"/>
      <c r="MXC266" s="691"/>
      <c r="MXD266" s="651"/>
      <c r="MXE266" s="691"/>
      <c r="MXF266" s="651"/>
      <c r="MXG266" s="691"/>
      <c r="MXH266" s="651"/>
      <c r="MXI266" s="691"/>
      <c r="MXJ266" s="651"/>
      <c r="MXK266" s="691"/>
      <c r="MXL266" s="651"/>
      <c r="MXM266" s="691"/>
      <c r="MXN266" s="651"/>
      <c r="MXO266" s="691"/>
      <c r="MXP266" s="651"/>
      <c r="MXQ266" s="691"/>
      <c r="MXR266" s="651"/>
      <c r="MXS266" s="691"/>
      <c r="MXT266" s="651"/>
      <c r="MXU266" s="691"/>
      <c r="MXV266" s="651"/>
      <c r="MXW266" s="691"/>
      <c r="MXX266" s="651"/>
      <c r="MXY266" s="691"/>
      <c r="MXZ266" s="651"/>
      <c r="MYA266" s="691"/>
      <c r="MYB266" s="651"/>
      <c r="MYC266" s="691"/>
      <c r="MYD266" s="651"/>
      <c r="MYE266" s="691"/>
      <c r="MYF266" s="651"/>
      <c r="MYG266" s="691"/>
      <c r="MYH266" s="651"/>
      <c r="MYI266" s="691"/>
      <c r="MYJ266" s="651"/>
      <c r="MYK266" s="691"/>
      <c r="MYL266" s="651"/>
      <c r="MYM266" s="691"/>
      <c r="MYN266" s="651"/>
      <c r="MYO266" s="691"/>
      <c r="MYP266" s="651"/>
      <c r="MYQ266" s="691"/>
      <c r="MYR266" s="651"/>
      <c r="MYS266" s="691"/>
      <c r="MYT266" s="651"/>
      <c r="MYU266" s="691"/>
      <c r="MYV266" s="651"/>
      <c r="MYW266" s="691"/>
      <c r="MYX266" s="651"/>
      <c r="MYY266" s="691"/>
      <c r="MYZ266" s="651"/>
      <c r="MZA266" s="691"/>
      <c r="MZB266" s="651"/>
      <c r="MZC266" s="691"/>
      <c r="MZD266" s="651"/>
      <c r="MZE266" s="691"/>
      <c r="MZF266" s="651"/>
      <c r="MZG266" s="691"/>
      <c r="MZH266" s="651"/>
      <c r="MZI266" s="691"/>
      <c r="MZJ266" s="651"/>
      <c r="MZK266" s="691"/>
      <c r="MZL266" s="651"/>
      <c r="MZM266" s="691"/>
      <c r="MZN266" s="651"/>
      <c r="MZO266" s="691"/>
      <c r="MZP266" s="651"/>
      <c r="MZQ266" s="691"/>
      <c r="MZR266" s="651"/>
      <c r="MZS266" s="691"/>
      <c r="MZT266" s="651"/>
      <c r="MZU266" s="691"/>
      <c r="MZV266" s="651"/>
      <c r="MZW266" s="691"/>
      <c r="MZX266" s="651"/>
      <c r="MZY266" s="691"/>
      <c r="MZZ266" s="651"/>
      <c r="NAA266" s="691"/>
      <c r="NAB266" s="651"/>
      <c r="NAC266" s="691"/>
      <c r="NAD266" s="651"/>
      <c r="NAE266" s="691"/>
      <c r="NAF266" s="651"/>
      <c r="NAG266" s="691"/>
      <c r="NAH266" s="651"/>
      <c r="NAI266" s="691"/>
      <c r="NAJ266" s="651"/>
      <c r="NAK266" s="691"/>
      <c r="NAL266" s="651"/>
      <c r="NAM266" s="691"/>
      <c r="NAN266" s="651"/>
      <c r="NAO266" s="691"/>
      <c r="NAP266" s="651"/>
      <c r="NAQ266" s="691"/>
      <c r="NAR266" s="651"/>
      <c r="NAS266" s="691"/>
      <c r="NAT266" s="651"/>
      <c r="NAU266" s="691"/>
      <c r="NAV266" s="651"/>
      <c r="NAW266" s="691"/>
      <c r="NAX266" s="651"/>
      <c r="NAY266" s="691"/>
      <c r="NAZ266" s="651"/>
      <c r="NBA266" s="691"/>
      <c r="NBB266" s="651"/>
      <c r="NBC266" s="691"/>
      <c r="NBD266" s="651"/>
      <c r="NBE266" s="691"/>
      <c r="NBF266" s="651"/>
      <c r="NBG266" s="691"/>
      <c r="NBH266" s="651"/>
      <c r="NBI266" s="691"/>
      <c r="NBJ266" s="651"/>
      <c r="NBK266" s="691"/>
      <c r="NBL266" s="651"/>
      <c r="NBM266" s="691"/>
      <c r="NBN266" s="651"/>
      <c r="NBO266" s="691"/>
      <c r="NBP266" s="651"/>
      <c r="NBQ266" s="691"/>
      <c r="NBR266" s="651"/>
      <c r="NBS266" s="691"/>
      <c r="NBT266" s="651"/>
      <c r="NBU266" s="691"/>
      <c r="NBV266" s="651"/>
      <c r="NBW266" s="691"/>
      <c r="NBX266" s="651"/>
      <c r="NBY266" s="691"/>
      <c r="NBZ266" s="651"/>
      <c r="NCA266" s="691"/>
      <c r="NCB266" s="651"/>
      <c r="NCC266" s="691"/>
      <c r="NCD266" s="651"/>
      <c r="NCE266" s="691"/>
      <c r="NCF266" s="651"/>
      <c r="NCG266" s="691"/>
      <c r="NCH266" s="651"/>
      <c r="NCI266" s="691"/>
      <c r="NCJ266" s="651"/>
      <c r="NCK266" s="691"/>
      <c r="NCL266" s="651"/>
      <c r="NCM266" s="691"/>
      <c r="NCN266" s="651"/>
      <c r="NCO266" s="691"/>
      <c r="NCP266" s="651"/>
      <c r="NCQ266" s="691"/>
      <c r="NCR266" s="651"/>
      <c r="NCS266" s="691"/>
      <c r="NCT266" s="651"/>
      <c r="NCU266" s="691"/>
      <c r="NCV266" s="651"/>
      <c r="NCW266" s="691"/>
      <c r="NCX266" s="651"/>
      <c r="NCY266" s="691"/>
      <c r="NCZ266" s="651"/>
      <c r="NDA266" s="691"/>
      <c r="NDB266" s="651"/>
      <c r="NDC266" s="691"/>
      <c r="NDD266" s="651"/>
      <c r="NDE266" s="691"/>
      <c r="NDF266" s="651"/>
      <c r="NDG266" s="691"/>
      <c r="NDH266" s="651"/>
      <c r="NDI266" s="691"/>
      <c r="NDJ266" s="651"/>
      <c r="NDK266" s="691"/>
      <c r="NDL266" s="651"/>
      <c r="NDM266" s="691"/>
      <c r="NDN266" s="651"/>
      <c r="NDO266" s="691"/>
      <c r="NDP266" s="651"/>
      <c r="NDQ266" s="691"/>
      <c r="NDR266" s="651"/>
      <c r="NDS266" s="691"/>
      <c r="NDT266" s="651"/>
      <c r="NDU266" s="691"/>
      <c r="NDV266" s="651"/>
      <c r="NDW266" s="691"/>
      <c r="NDX266" s="651"/>
      <c r="NDY266" s="691"/>
      <c r="NDZ266" s="651"/>
      <c r="NEA266" s="691"/>
      <c r="NEB266" s="651"/>
      <c r="NEC266" s="691"/>
      <c r="NED266" s="651"/>
      <c r="NEE266" s="691"/>
      <c r="NEF266" s="651"/>
      <c r="NEG266" s="691"/>
      <c r="NEH266" s="651"/>
      <c r="NEI266" s="691"/>
      <c r="NEJ266" s="651"/>
      <c r="NEK266" s="691"/>
      <c r="NEL266" s="651"/>
      <c r="NEM266" s="691"/>
      <c r="NEN266" s="651"/>
      <c r="NEO266" s="691"/>
      <c r="NEP266" s="651"/>
      <c r="NEQ266" s="691"/>
      <c r="NER266" s="651"/>
      <c r="NES266" s="691"/>
      <c r="NET266" s="651"/>
      <c r="NEU266" s="691"/>
      <c r="NEV266" s="651"/>
      <c r="NEW266" s="691"/>
      <c r="NEX266" s="651"/>
      <c r="NEY266" s="691"/>
      <c r="NEZ266" s="651"/>
      <c r="NFA266" s="691"/>
      <c r="NFB266" s="651"/>
      <c r="NFC266" s="691"/>
      <c r="NFD266" s="651"/>
      <c r="NFE266" s="691"/>
      <c r="NFF266" s="651"/>
      <c r="NFG266" s="691"/>
      <c r="NFH266" s="651"/>
      <c r="NFI266" s="691"/>
      <c r="NFJ266" s="651"/>
      <c r="NFK266" s="691"/>
      <c r="NFL266" s="651"/>
      <c r="NFM266" s="691"/>
      <c r="NFN266" s="651"/>
      <c r="NFO266" s="691"/>
      <c r="NFP266" s="651"/>
      <c r="NFQ266" s="691"/>
      <c r="NFR266" s="651"/>
      <c r="NFS266" s="691"/>
      <c r="NFT266" s="651"/>
      <c r="NFU266" s="691"/>
      <c r="NFV266" s="651"/>
      <c r="NFW266" s="691"/>
      <c r="NFX266" s="651"/>
      <c r="NFY266" s="691"/>
      <c r="NFZ266" s="651"/>
      <c r="NGA266" s="691"/>
      <c r="NGB266" s="651"/>
      <c r="NGC266" s="691"/>
      <c r="NGD266" s="651"/>
      <c r="NGE266" s="691"/>
      <c r="NGF266" s="651"/>
      <c r="NGG266" s="691"/>
      <c r="NGH266" s="651"/>
      <c r="NGI266" s="691"/>
      <c r="NGJ266" s="651"/>
      <c r="NGK266" s="691"/>
      <c r="NGL266" s="651"/>
      <c r="NGM266" s="691"/>
      <c r="NGN266" s="651"/>
      <c r="NGO266" s="691"/>
      <c r="NGP266" s="651"/>
      <c r="NGQ266" s="691"/>
      <c r="NGR266" s="651"/>
      <c r="NGS266" s="691"/>
      <c r="NGT266" s="651"/>
      <c r="NGU266" s="691"/>
      <c r="NGV266" s="651"/>
      <c r="NGW266" s="691"/>
      <c r="NGX266" s="651"/>
      <c r="NGY266" s="691"/>
      <c r="NGZ266" s="651"/>
      <c r="NHA266" s="691"/>
      <c r="NHB266" s="651"/>
      <c r="NHC266" s="691"/>
      <c r="NHD266" s="651"/>
      <c r="NHE266" s="691"/>
      <c r="NHF266" s="651"/>
      <c r="NHG266" s="691"/>
      <c r="NHH266" s="651"/>
      <c r="NHI266" s="691"/>
      <c r="NHJ266" s="651"/>
      <c r="NHK266" s="691"/>
      <c r="NHL266" s="651"/>
      <c r="NHM266" s="691"/>
      <c r="NHN266" s="651"/>
      <c r="NHO266" s="691"/>
      <c r="NHP266" s="651"/>
      <c r="NHQ266" s="691"/>
      <c r="NHR266" s="651"/>
      <c r="NHS266" s="691"/>
      <c r="NHT266" s="651"/>
      <c r="NHU266" s="691"/>
      <c r="NHV266" s="651"/>
      <c r="NHW266" s="691"/>
      <c r="NHX266" s="651"/>
      <c r="NHY266" s="691"/>
      <c r="NHZ266" s="651"/>
      <c r="NIA266" s="691"/>
      <c r="NIB266" s="651"/>
      <c r="NIC266" s="691"/>
      <c r="NID266" s="651"/>
      <c r="NIE266" s="691"/>
      <c r="NIF266" s="651"/>
      <c r="NIG266" s="691"/>
      <c r="NIH266" s="651"/>
      <c r="NII266" s="691"/>
      <c r="NIJ266" s="651"/>
      <c r="NIK266" s="691"/>
      <c r="NIL266" s="651"/>
      <c r="NIM266" s="691"/>
      <c r="NIN266" s="651"/>
      <c r="NIO266" s="691"/>
      <c r="NIP266" s="651"/>
      <c r="NIQ266" s="691"/>
      <c r="NIR266" s="651"/>
      <c r="NIS266" s="691"/>
      <c r="NIT266" s="651"/>
      <c r="NIU266" s="691"/>
      <c r="NIV266" s="651"/>
      <c r="NIW266" s="691"/>
      <c r="NIX266" s="651"/>
      <c r="NIY266" s="691"/>
      <c r="NIZ266" s="651"/>
      <c r="NJA266" s="691"/>
      <c r="NJB266" s="651"/>
      <c r="NJC266" s="691"/>
      <c r="NJD266" s="651"/>
      <c r="NJE266" s="691"/>
      <c r="NJF266" s="651"/>
      <c r="NJG266" s="691"/>
      <c r="NJH266" s="651"/>
      <c r="NJI266" s="691"/>
      <c r="NJJ266" s="651"/>
      <c r="NJK266" s="691"/>
      <c r="NJL266" s="651"/>
      <c r="NJM266" s="691"/>
      <c r="NJN266" s="651"/>
      <c r="NJO266" s="691"/>
      <c r="NJP266" s="651"/>
      <c r="NJQ266" s="691"/>
      <c r="NJR266" s="651"/>
      <c r="NJS266" s="691"/>
      <c r="NJT266" s="651"/>
      <c r="NJU266" s="691"/>
      <c r="NJV266" s="651"/>
      <c r="NJW266" s="691"/>
      <c r="NJX266" s="651"/>
      <c r="NJY266" s="691"/>
      <c r="NJZ266" s="651"/>
      <c r="NKA266" s="691"/>
      <c r="NKB266" s="651"/>
      <c r="NKC266" s="691"/>
      <c r="NKD266" s="651"/>
      <c r="NKE266" s="691"/>
      <c r="NKF266" s="651"/>
      <c r="NKG266" s="691"/>
      <c r="NKH266" s="651"/>
      <c r="NKI266" s="691"/>
      <c r="NKJ266" s="651"/>
      <c r="NKK266" s="691"/>
      <c r="NKL266" s="651"/>
      <c r="NKM266" s="691"/>
      <c r="NKN266" s="651"/>
      <c r="NKO266" s="691"/>
      <c r="NKP266" s="651"/>
      <c r="NKQ266" s="691"/>
      <c r="NKR266" s="651"/>
      <c r="NKS266" s="691"/>
      <c r="NKT266" s="651"/>
      <c r="NKU266" s="691"/>
      <c r="NKV266" s="651"/>
      <c r="NKW266" s="691"/>
      <c r="NKX266" s="651"/>
      <c r="NKY266" s="691"/>
      <c r="NKZ266" s="651"/>
      <c r="NLA266" s="691"/>
      <c r="NLB266" s="651"/>
      <c r="NLC266" s="691"/>
      <c r="NLD266" s="651"/>
      <c r="NLE266" s="691"/>
      <c r="NLF266" s="651"/>
      <c r="NLG266" s="691"/>
      <c r="NLH266" s="651"/>
      <c r="NLI266" s="691"/>
      <c r="NLJ266" s="651"/>
      <c r="NLK266" s="691"/>
      <c r="NLL266" s="651"/>
      <c r="NLM266" s="691"/>
      <c r="NLN266" s="651"/>
      <c r="NLO266" s="691"/>
      <c r="NLP266" s="651"/>
      <c r="NLQ266" s="691"/>
      <c r="NLR266" s="651"/>
      <c r="NLS266" s="691"/>
      <c r="NLT266" s="651"/>
      <c r="NLU266" s="691"/>
      <c r="NLV266" s="651"/>
      <c r="NLW266" s="691"/>
      <c r="NLX266" s="651"/>
      <c r="NLY266" s="691"/>
      <c r="NLZ266" s="651"/>
      <c r="NMA266" s="691"/>
      <c r="NMB266" s="651"/>
      <c r="NMC266" s="691"/>
      <c r="NMD266" s="651"/>
      <c r="NME266" s="691"/>
      <c r="NMF266" s="651"/>
      <c r="NMG266" s="691"/>
      <c r="NMH266" s="651"/>
      <c r="NMI266" s="691"/>
      <c r="NMJ266" s="651"/>
      <c r="NMK266" s="691"/>
      <c r="NML266" s="651"/>
      <c r="NMM266" s="691"/>
      <c r="NMN266" s="651"/>
      <c r="NMO266" s="691"/>
      <c r="NMP266" s="651"/>
      <c r="NMQ266" s="691"/>
      <c r="NMR266" s="651"/>
      <c r="NMS266" s="691"/>
      <c r="NMT266" s="651"/>
      <c r="NMU266" s="691"/>
      <c r="NMV266" s="651"/>
      <c r="NMW266" s="691"/>
      <c r="NMX266" s="651"/>
      <c r="NMY266" s="691"/>
      <c r="NMZ266" s="651"/>
      <c r="NNA266" s="691"/>
      <c r="NNB266" s="651"/>
      <c r="NNC266" s="691"/>
      <c r="NND266" s="651"/>
      <c r="NNE266" s="691"/>
      <c r="NNF266" s="651"/>
      <c r="NNG266" s="691"/>
      <c r="NNH266" s="651"/>
      <c r="NNI266" s="691"/>
      <c r="NNJ266" s="651"/>
      <c r="NNK266" s="691"/>
      <c r="NNL266" s="651"/>
      <c r="NNM266" s="691"/>
      <c r="NNN266" s="651"/>
      <c r="NNO266" s="691"/>
      <c r="NNP266" s="651"/>
      <c r="NNQ266" s="691"/>
      <c r="NNR266" s="651"/>
      <c r="NNS266" s="691"/>
      <c r="NNT266" s="651"/>
      <c r="NNU266" s="691"/>
      <c r="NNV266" s="651"/>
      <c r="NNW266" s="691"/>
      <c r="NNX266" s="651"/>
      <c r="NNY266" s="691"/>
      <c r="NNZ266" s="651"/>
      <c r="NOA266" s="691"/>
      <c r="NOB266" s="651"/>
      <c r="NOC266" s="691"/>
      <c r="NOD266" s="651"/>
      <c r="NOE266" s="691"/>
      <c r="NOF266" s="651"/>
      <c r="NOG266" s="691"/>
      <c r="NOH266" s="651"/>
      <c r="NOI266" s="691"/>
      <c r="NOJ266" s="651"/>
      <c r="NOK266" s="691"/>
      <c r="NOL266" s="651"/>
      <c r="NOM266" s="691"/>
      <c r="NON266" s="651"/>
      <c r="NOO266" s="691"/>
      <c r="NOP266" s="651"/>
      <c r="NOQ266" s="691"/>
      <c r="NOR266" s="651"/>
      <c r="NOS266" s="691"/>
      <c r="NOT266" s="651"/>
      <c r="NOU266" s="691"/>
      <c r="NOV266" s="651"/>
      <c r="NOW266" s="691"/>
      <c r="NOX266" s="651"/>
      <c r="NOY266" s="691"/>
      <c r="NOZ266" s="651"/>
      <c r="NPA266" s="691"/>
      <c r="NPB266" s="651"/>
      <c r="NPC266" s="691"/>
      <c r="NPD266" s="651"/>
      <c r="NPE266" s="691"/>
      <c r="NPF266" s="651"/>
      <c r="NPG266" s="691"/>
      <c r="NPH266" s="651"/>
      <c r="NPI266" s="691"/>
      <c r="NPJ266" s="651"/>
      <c r="NPK266" s="691"/>
      <c r="NPL266" s="651"/>
      <c r="NPM266" s="691"/>
      <c r="NPN266" s="651"/>
      <c r="NPO266" s="691"/>
      <c r="NPP266" s="651"/>
      <c r="NPQ266" s="691"/>
      <c r="NPR266" s="651"/>
      <c r="NPS266" s="691"/>
      <c r="NPT266" s="651"/>
      <c r="NPU266" s="691"/>
      <c r="NPV266" s="651"/>
      <c r="NPW266" s="691"/>
      <c r="NPX266" s="651"/>
      <c r="NPY266" s="691"/>
      <c r="NPZ266" s="651"/>
      <c r="NQA266" s="691"/>
      <c r="NQB266" s="651"/>
      <c r="NQC266" s="691"/>
      <c r="NQD266" s="651"/>
      <c r="NQE266" s="691"/>
      <c r="NQF266" s="651"/>
      <c r="NQG266" s="691"/>
      <c r="NQH266" s="651"/>
      <c r="NQI266" s="691"/>
      <c r="NQJ266" s="651"/>
      <c r="NQK266" s="691"/>
      <c r="NQL266" s="651"/>
      <c r="NQM266" s="691"/>
      <c r="NQN266" s="651"/>
      <c r="NQO266" s="691"/>
      <c r="NQP266" s="651"/>
      <c r="NQQ266" s="691"/>
      <c r="NQR266" s="651"/>
      <c r="NQS266" s="691"/>
      <c r="NQT266" s="651"/>
      <c r="NQU266" s="691"/>
      <c r="NQV266" s="651"/>
      <c r="NQW266" s="691"/>
      <c r="NQX266" s="651"/>
      <c r="NQY266" s="691"/>
      <c r="NQZ266" s="651"/>
      <c r="NRA266" s="691"/>
      <c r="NRB266" s="651"/>
      <c r="NRC266" s="691"/>
      <c r="NRD266" s="651"/>
      <c r="NRE266" s="691"/>
      <c r="NRF266" s="651"/>
      <c r="NRG266" s="691"/>
      <c r="NRH266" s="651"/>
      <c r="NRI266" s="691"/>
      <c r="NRJ266" s="651"/>
      <c r="NRK266" s="691"/>
      <c r="NRL266" s="651"/>
      <c r="NRM266" s="691"/>
      <c r="NRN266" s="651"/>
      <c r="NRO266" s="691"/>
      <c r="NRP266" s="651"/>
      <c r="NRQ266" s="691"/>
      <c r="NRR266" s="651"/>
      <c r="NRS266" s="691"/>
      <c r="NRT266" s="651"/>
      <c r="NRU266" s="691"/>
      <c r="NRV266" s="651"/>
      <c r="NRW266" s="691"/>
      <c r="NRX266" s="651"/>
      <c r="NRY266" s="691"/>
      <c r="NRZ266" s="651"/>
      <c r="NSA266" s="691"/>
      <c r="NSB266" s="651"/>
      <c r="NSC266" s="691"/>
      <c r="NSD266" s="651"/>
      <c r="NSE266" s="691"/>
      <c r="NSF266" s="651"/>
      <c r="NSG266" s="691"/>
      <c r="NSH266" s="651"/>
      <c r="NSI266" s="691"/>
      <c r="NSJ266" s="651"/>
      <c r="NSK266" s="691"/>
      <c r="NSL266" s="651"/>
      <c r="NSM266" s="691"/>
      <c r="NSN266" s="651"/>
      <c r="NSO266" s="691"/>
      <c r="NSP266" s="651"/>
      <c r="NSQ266" s="691"/>
      <c r="NSR266" s="651"/>
      <c r="NSS266" s="691"/>
      <c r="NST266" s="651"/>
      <c r="NSU266" s="691"/>
      <c r="NSV266" s="651"/>
      <c r="NSW266" s="691"/>
      <c r="NSX266" s="651"/>
      <c r="NSY266" s="691"/>
      <c r="NSZ266" s="651"/>
      <c r="NTA266" s="691"/>
      <c r="NTB266" s="651"/>
      <c r="NTC266" s="691"/>
      <c r="NTD266" s="651"/>
      <c r="NTE266" s="691"/>
      <c r="NTF266" s="651"/>
      <c r="NTG266" s="691"/>
      <c r="NTH266" s="651"/>
      <c r="NTI266" s="691"/>
      <c r="NTJ266" s="651"/>
      <c r="NTK266" s="691"/>
      <c r="NTL266" s="651"/>
      <c r="NTM266" s="691"/>
      <c r="NTN266" s="651"/>
      <c r="NTO266" s="691"/>
      <c r="NTP266" s="651"/>
      <c r="NTQ266" s="691"/>
      <c r="NTR266" s="651"/>
      <c r="NTS266" s="691"/>
      <c r="NTT266" s="651"/>
      <c r="NTU266" s="691"/>
      <c r="NTV266" s="651"/>
      <c r="NTW266" s="691"/>
      <c r="NTX266" s="651"/>
      <c r="NTY266" s="691"/>
      <c r="NTZ266" s="651"/>
      <c r="NUA266" s="691"/>
      <c r="NUB266" s="651"/>
      <c r="NUC266" s="691"/>
      <c r="NUD266" s="651"/>
      <c r="NUE266" s="691"/>
      <c r="NUF266" s="651"/>
      <c r="NUG266" s="691"/>
      <c r="NUH266" s="651"/>
      <c r="NUI266" s="691"/>
      <c r="NUJ266" s="651"/>
      <c r="NUK266" s="691"/>
      <c r="NUL266" s="651"/>
      <c r="NUM266" s="691"/>
      <c r="NUN266" s="651"/>
      <c r="NUO266" s="691"/>
      <c r="NUP266" s="651"/>
      <c r="NUQ266" s="691"/>
      <c r="NUR266" s="651"/>
      <c r="NUS266" s="691"/>
      <c r="NUT266" s="651"/>
      <c r="NUU266" s="691"/>
      <c r="NUV266" s="651"/>
      <c r="NUW266" s="691"/>
      <c r="NUX266" s="651"/>
      <c r="NUY266" s="691"/>
      <c r="NUZ266" s="651"/>
      <c r="NVA266" s="691"/>
      <c r="NVB266" s="651"/>
      <c r="NVC266" s="691"/>
      <c r="NVD266" s="651"/>
      <c r="NVE266" s="691"/>
      <c r="NVF266" s="651"/>
      <c r="NVG266" s="691"/>
      <c r="NVH266" s="651"/>
      <c r="NVI266" s="691"/>
      <c r="NVJ266" s="651"/>
      <c r="NVK266" s="691"/>
      <c r="NVL266" s="651"/>
      <c r="NVM266" s="691"/>
      <c r="NVN266" s="651"/>
      <c r="NVO266" s="691"/>
      <c r="NVP266" s="651"/>
      <c r="NVQ266" s="691"/>
      <c r="NVR266" s="651"/>
      <c r="NVS266" s="691"/>
      <c r="NVT266" s="651"/>
      <c r="NVU266" s="691"/>
      <c r="NVV266" s="651"/>
      <c r="NVW266" s="691"/>
      <c r="NVX266" s="651"/>
      <c r="NVY266" s="691"/>
      <c r="NVZ266" s="651"/>
      <c r="NWA266" s="691"/>
      <c r="NWB266" s="651"/>
      <c r="NWC266" s="691"/>
      <c r="NWD266" s="651"/>
      <c r="NWE266" s="691"/>
      <c r="NWF266" s="651"/>
      <c r="NWG266" s="691"/>
      <c r="NWH266" s="651"/>
      <c r="NWI266" s="691"/>
      <c r="NWJ266" s="651"/>
      <c r="NWK266" s="691"/>
      <c r="NWL266" s="651"/>
      <c r="NWM266" s="691"/>
      <c r="NWN266" s="651"/>
      <c r="NWO266" s="691"/>
      <c r="NWP266" s="651"/>
      <c r="NWQ266" s="691"/>
      <c r="NWR266" s="651"/>
      <c r="NWS266" s="691"/>
      <c r="NWT266" s="651"/>
      <c r="NWU266" s="691"/>
      <c r="NWV266" s="651"/>
      <c r="NWW266" s="691"/>
      <c r="NWX266" s="651"/>
      <c r="NWY266" s="691"/>
      <c r="NWZ266" s="651"/>
      <c r="NXA266" s="691"/>
      <c r="NXB266" s="651"/>
      <c r="NXC266" s="691"/>
      <c r="NXD266" s="651"/>
      <c r="NXE266" s="691"/>
      <c r="NXF266" s="651"/>
      <c r="NXG266" s="691"/>
      <c r="NXH266" s="651"/>
      <c r="NXI266" s="691"/>
      <c r="NXJ266" s="651"/>
      <c r="NXK266" s="691"/>
      <c r="NXL266" s="651"/>
      <c r="NXM266" s="691"/>
      <c r="NXN266" s="651"/>
      <c r="NXO266" s="691"/>
      <c r="NXP266" s="651"/>
      <c r="NXQ266" s="691"/>
      <c r="NXR266" s="651"/>
      <c r="NXS266" s="691"/>
      <c r="NXT266" s="651"/>
      <c r="NXU266" s="691"/>
      <c r="NXV266" s="651"/>
      <c r="NXW266" s="691"/>
      <c r="NXX266" s="651"/>
      <c r="NXY266" s="691"/>
      <c r="NXZ266" s="651"/>
      <c r="NYA266" s="691"/>
      <c r="NYB266" s="651"/>
      <c r="NYC266" s="691"/>
      <c r="NYD266" s="651"/>
      <c r="NYE266" s="691"/>
      <c r="NYF266" s="651"/>
      <c r="NYG266" s="691"/>
      <c r="NYH266" s="651"/>
      <c r="NYI266" s="691"/>
      <c r="NYJ266" s="651"/>
      <c r="NYK266" s="691"/>
      <c r="NYL266" s="651"/>
      <c r="NYM266" s="691"/>
      <c r="NYN266" s="651"/>
      <c r="NYO266" s="691"/>
      <c r="NYP266" s="651"/>
      <c r="NYQ266" s="691"/>
      <c r="NYR266" s="651"/>
      <c r="NYS266" s="691"/>
      <c r="NYT266" s="651"/>
      <c r="NYU266" s="691"/>
      <c r="NYV266" s="651"/>
      <c r="NYW266" s="691"/>
      <c r="NYX266" s="651"/>
      <c r="NYY266" s="691"/>
      <c r="NYZ266" s="651"/>
      <c r="NZA266" s="691"/>
      <c r="NZB266" s="651"/>
      <c r="NZC266" s="691"/>
      <c r="NZD266" s="651"/>
      <c r="NZE266" s="691"/>
      <c r="NZF266" s="651"/>
      <c r="NZG266" s="691"/>
      <c r="NZH266" s="651"/>
      <c r="NZI266" s="691"/>
      <c r="NZJ266" s="651"/>
      <c r="NZK266" s="691"/>
      <c r="NZL266" s="651"/>
      <c r="NZM266" s="691"/>
      <c r="NZN266" s="651"/>
      <c r="NZO266" s="691"/>
      <c r="NZP266" s="651"/>
      <c r="NZQ266" s="691"/>
      <c r="NZR266" s="651"/>
      <c r="NZS266" s="691"/>
      <c r="NZT266" s="651"/>
      <c r="NZU266" s="691"/>
      <c r="NZV266" s="651"/>
      <c r="NZW266" s="691"/>
      <c r="NZX266" s="651"/>
      <c r="NZY266" s="691"/>
      <c r="NZZ266" s="651"/>
      <c r="OAA266" s="691"/>
      <c r="OAB266" s="651"/>
      <c r="OAC266" s="691"/>
      <c r="OAD266" s="651"/>
      <c r="OAE266" s="691"/>
      <c r="OAF266" s="651"/>
      <c r="OAG266" s="691"/>
      <c r="OAH266" s="651"/>
      <c r="OAI266" s="691"/>
      <c r="OAJ266" s="651"/>
      <c r="OAK266" s="691"/>
      <c r="OAL266" s="651"/>
      <c r="OAM266" s="691"/>
      <c r="OAN266" s="651"/>
      <c r="OAO266" s="691"/>
      <c r="OAP266" s="651"/>
      <c r="OAQ266" s="691"/>
      <c r="OAR266" s="651"/>
      <c r="OAS266" s="691"/>
      <c r="OAT266" s="651"/>
      <c r="OAU266" s="691"/>
      <c r="OAV266" s="651"/>
      <c r="OAW266" s="691"/>
      <c r="OAX266" s="651"/>
      <c r="OAY266" s="691"/>
      <c r="OAZ266" s="651"/>
      <c r="OBA266" s="691"/>
      <c r="OBB266" s="651"/>
      <c r="OBC266" s="691"/>
      <c r="OBD266" s="651"/>
      <c r="OBE266" s="691"/>
      <c r="OBF266" s="651"/>
      <c r="OBG266" s="691"/>
      <c r="OBH266" s="651"/>
      <c r="OBI266" s="691"/>
      <c r="OBJ266" s="651"/>
      <c r="OBK266" s="691"/>
      <c r="OBL266" s="651"/>
      <c r="OBM266" s="691"/>
      <c r="OBN266" s="651"/>
      <c r="OBO266" s="691"/>
      <c r="OBP266" s="651"/>
      <c r="OBQ266" s="691"/>
      <c r="OBR266" s="651"/>
      <c r="OBS266" s="691"/>
      <c r="OBT266" s="651"/>
      <c r="OBU266" s="691"/>
      <c r="OBV266" s="651"/>
      <c r="OBW266" s="691"/>
      <c r="OBX266" s="651"/>
      <c r="OBY266" s="691"/>
      <c r="OBZ266" s="651"/>
      <c r="OCA266" s="691"/>
      <c r="OCB266" s="651"/>
      <c r="OCC266" s="691"/>
      <c r="OCD266" s="651"/>
      <c r="OCE266" s="691"/>
      <c r="OCF266" s="651"/>
      <c r="OCG266" s="691"/>
      <c r="OCH266" s="651"/>
      <c r="OCI266" s="691"/>
      <c r="OCJ266" s="651"/>
      <c r="OCK266" s="691"/>
      <c r="OCL266" s="651"/>
      <c r="OCM266" s="691"/>
      <c r="OCN266" s="651"/>
      <c r="OCO266" s="691"/>
      <c r="OCP266" s="651"/>
      <c r="OCQ266" s="691"/>
      <c r="OCR266" s="651"/>
      <c r="OCS266" s="691"/>
      <c r="OCT266" s="651"/>
      <c r="OCU266" s="691"/>
      <c r="OCV266" s="651"/>
      <c r="OCW266" s="691"/>
      <c r="OCX266" s="651"/>
      <c r="OCY266" s="691"/>
      <c r="OCZ266" s="651"/>
      <c r="ODA266" s="691"/>
      <c r="ODB266" s="651"/>
      <c r="ODC266" s="691"/>
      <c r="ODD266" s="651"/>
      <c r="ODE266" s="691"/>
      <c r="ODF266" s="651"/>
      <c r="ODG266" s="691"/>
      <c r="ODH266" s="651"/>
      <c r="ODI266" s="691"/>
      <c r="ODJ266" s="651"/>
      <c r="ODK266" s="691"/>
      <c r="ODL266" s="651"/>
      <c r="ODM266" s="691"/>
      <c r="ODN266" s="651"/>
      <c r="ODO266" s="691"/>
      <c r="ODP266" s="651"/>
      <c r="ODQ266" s="691"/>
      <c r="ODR266" s="651"/>
      <c r="ODS266" s="691"/>
      <c r="ODT266" s="651"/>
      <c r="ODU266" s="691"/>
      <c r="ODV266" s="651"/>
      <c r="ODW266" s="691"/>
      <c r="ODX266" s="651"/>
      <c r="ODY266" s="691"/>
      <c r="ODZ266" s="651"/>
      <c r="OEA266" s="691"/>
      <c r="OEB266" s="651"/>
      <c r="OEC266" s="691"/>
      <c r="OED266" s="651"/>
      <c r="OEE266" s="691"/>
      <c r="OEF266" s="651"/>
      <c r="OEG266" s="691"/>
      <c r="OEH266" s="651"/>
      <c r="OEI266" s="691"/>
      <c r="OEJ266" s="651"/>
      <c r="OEK266" s="691"/>
      <c r="OEL266" s="651"/>
      <c r="OEM266" s="691"/>
      <c r="OEN266" s="651"/>
      <c r="OEO266" s="691"/>
      <c r="OEP266" s="651"/>
      <c r="OEQ266" s="691"/>
      <c r="OER266" s="651"/>
      <c r="OES266" s="691"/>
      <c r="OET266" s="651"/>
      <c r="OEU266" s="691"/>
      <c r="OEV266" s="651"/>
      <c r="OEW266" s="691"/>
      <c r="OEX266" s="651"/>
      <c r="OEY266" s="691"/>
      <c r="OEZ266" s="651"/>
      <c r="OFA266" s="691"/>
      <c r="OFB266" s="651"/>
      <c r="OFC266" s="691"/>
      <c r="OFD266" s="651"/>
      <c r="OFE266" s="691"/>
      <c r="OFF266" s="651"/>
      <c r="OFG266" s="691"/>
      <c r="OFH266" s="651"/>
      <c r="OFI266" s="691"/>
      <c r="OFJ266" s="651"/>
      <c r="OFK266" s="691"/>
      <c r="OFL266" s="651"/>
      <c r="OFM266" s="691"/>
      <c r="OFN266" s="651"/>
      <c r="OFO266" s="691"/>
      <c r="OFP266" s="651"/>
      <c r="OFQ266" s="691"/>
      <c r="OFR266" s="651"/>
      <c r="OFS266" s="691"/>
      <c r="OFT266" s="651"/>
      <c r="OFU266" s="691"/>
      <c r="OFV266" s="651"/>
      <c r="OFW266" s="691"/>
      <c r="OFX266" s="651"/>
      <c r="OFY266" s="691"/>
      <c r="OFZ266" s="651"/>
      <c r="OGA266" s="691"/>
      <c r="OGB266" s="651"/>
      <c r="OGC266" s="691"/>
      <c r="OGD266" s="651"/>
      <c r="OGE266" s="691"/>
      <c r="OGF266" s="651"/>
      <c r="OGG266" s="691"/>
      <c r="OGH266" s="651"/>
      <c r="OGI266" s="691"/>
      <c r="OGJ266" s="651"/>
      <c r="OGK266" s="691"/>
      <c r="OGL266" s="651"/>
      <c r="OGM266" s="691"/>
      <c r="OGN266" s="651"/>
      <c r="OGO266" s="691"/>
      <c r="OGP266" s="651"/>
      <c r="OGQ266" s="691"/>
      <c r="OGR266" s="651"/>
      <c r="OGS266" s="691"/>
      <c r="OGT266" s="651"/>
      <c r="OGU266" s="691"/>
      <c r="OGV266" s="651"/>
      <c r="OGW266" s="691"/>
      <c r="OGX266" s="651"/>
      <c r="OGY266" s="691"/>
      <c r="OGZ266" s="651"/>
      <c r="OHA266" s="691"/>
      <c r="OHB266" s="651"/>
      <c r="OHC266" s="691"/>
      <c r="OHD266" s="651"/>
      <c r="OHE266" s="691"/>
      <c r="OHF266" s="651"/>
      <c r="OHG266" s="691"/>
      <c r="OHH266" s="651"/>
      <c r="OHI266" s="691"/>
      <c r="OHJ266" s="651"/>
      <c r="OHK266" s="691"/>
      <c r="OHL266" s="651"/>
      <c r="OHM266" s="691"/>
      <c r="OHN266" s="651"/>
      <c r="OHO266" s="691"/>
      <c r="OHP266" s="651"/>
      <c r="OHQ266" s="691"/>
      <c r="OHR266" s="651"/>
      <c r="OHS266" s="691"/>
      <c r="OHT266" s="651"/>
      <c r="OHU266" s="691"/>
      <c r="OHV266" s="651"/>
      <c r="OHW266" s="691"/>
      <c r="OHX266" s="651"/>
      <c r="OHY266" s="691"/>
      <c r="OHZ266" s="651"/>
      <c r="OIA266" s="691"/>
      <c r="OIB266" s="651"/>
      <c r="OIC266" s="691"/>
      <c r="OID266" s="651"/>
      <c r="OIE266" s="691"/>
      <c r="OIF266" s="651"/>
      <c r="OIG266" s="691"/>
      <c r="OIH266" s="651"/>
      <c r="OII266" s="691"/>
      <c r="OIJ266" s="651"/>
      <c r="OIK266" s="691"/>
      <c r="OIL266" s="651"/>
      <c r="OIM266" s="691"/>
      <c r="OIN266" s="651"/>
      <c r="OIO266" s="691"/>
      <c r="OIP266" s="651"/>
      <c r="OIQ266" s="691"/>
      <c r="OIR266" s="651"/>
      <c r="OIS266" s="691"/>
      <c r="OIT266" s="651"/>
      <c r="OIU266" s="691"/>
      <c r="OIV266" s="651"/>
      <c r="OIW266" s="691"/>
      <c r="OIX266" s="651"/>
      <c r="OIY266" s="691"/>
      <c r="OIZ266" s="651"/>
      <c r="OJA266" s="691"/>
      <c r="OJB266" s="651"/>
      <c r="OJC266" s="691"/>
      <c r="OJD266" s="651"/>
      <c r="OJE266" s="691"/>
      <c r="OJF266" s="651"/>
      <c r="OJG266" s="691"/>
      <c r="OJH266" s="651"/>
      <c r="OJI266" s="691"/>
      <c r="OJJ266" s="651"/>
      <c r="OJK266" s="691"/>
      <c r="OJL266" s="651"/>
      <c r="OJM266" s="691"/>
      <c r="OJN266" s="651"/>
      <c r="OJO266" s="691"/>
      <c r="OJP266" s="651"/>
      <c r="OJQ266" s="691"/>
      <c r="OJR266" s="651"/>
      <c r="OJS266" s="691"/>
      <c r="OJT266" s="651"/>
      <c r="OJU266" s="691"/>
      <c r="OJV266" s="651"/>
      <c r="OJW266" s="691"/>
      <c r="OJX266" s="651"/>
      <c r="OJY266" s="691"/>
      <c r="OJZ266" s="651"/>
      <c r="OKA266" s="691"/>
      <c r="OKB266" s="651"/>
      <c r="OKC266" s="691"/>
      <c r="OKD266" s="651"/>
      <c r="OKE266" s="691"/>
      <c r="OKF266" s="651"/>
      <c r="OKG266" s="691"/>
      <c r="OKH266" s="651"/>
      <c r="OKI266" s="691"/>
      <c r="OKJ266" s="651"/>
      <c r="OKK266" s="691"/>
      <c r="OKL266" s="651"/>
      <c r="OKM266" s="691"/>
      <c r="OKN266" s="651"/>
      <c r="OKO266" s="691"/>
      <c r="OKP266" s="651"/>
      <c r="OKQ266" s="691"/>
      <c r="OKR266" s="651"/>
      <c r="OKS266" s="691"/>
      <c r="OKT266" s="651"/>
      <c r="OKU266" s="691"/>
      <c r="OKV266" s="651"/>
      <c r="OKW266" s="691"/>
      <c r="OKX266" s="651"/>
      <c r="OKY266" s="691"/>
      <c r="OKZ266" s="651"/>
      <c r="OLA266" s="691"/>
      <c r="OLB266" s="651"/>
      <c r="OLC266" s="691"/>
      <c r="OLD266" s="651"/>
      <c r="OLE266" s="691"/>
      <c r="OLF266" s="651"/>
      <c r="OLG266" s="691"/>
      <c r="OLH266" s="651"/>
      <c r="OLI266" s="691"/>
      <c r="OLJ266" s="651"/>
      <c r="OLK266" s="691"/>
      <c r="OLL266" s="651"/>
      <c r="OLM266" s="691"/>
      <c r="OLN266" s="651"/>
      <c r="OLO266" s="691"/>
      <c r="OLP266" s="651"/>
      <c r="OLQ266" s="691"/>
      <c r="OLR266" s="651"/>
      <c r="OLS266" s="691"/>
      <c r="OLT266" s="651"/>
      <c r="OLU266" s="691"/>
      <c r="OLV266" s="651"/>
      <c r="OLW266" s="691"/>
      <c r="OLX266" s="651"/>
      <c r="OLY266" s="691"/>
      <c r="OLZ266" s="651"/>
      <c r="OMA266" s="691"/>
      <c r="OMB266" s="651"/>
      <c r="OMC266" s="691"/>
      <c r="OMD266" s="651"/>
      <c r="OME266" s="691"/>
      <c r="OMF266" s="651"/>
      <c r="OMG266" s="691"/>
      <c r="OMH266" s="651"/>
      <c r="OMI266" s="691"/>
      <c r="OMJ266" s="651"/>
      <c r="OMK266" s="691"/>
      <c r="OML266" s="651"/>
      <c r="OMM266" s="691"/>
      <c r="OMN266" s="651"/>
      <c r="OMO266" s="691"/>
      <c r="OMP266" s="651"/>
      <c r="OMQ266" s="691"/>
      <c r="OMR266" s="651"/>
      <c r="OMS266" s="691"/>
      <c r="OMT266" s="651"/>
      <c r="OMU266" s="691"/>
      <c r="OMV266" s="651"/>
      <c r="OMW266" s="691"/>
      <c r="OMX266" s="651"/>
      <c r="OMY266" s="691"/>
      <c r="OMZ266" s="651"/>
      <c r="ONA266" s="691"/>
      <c r="ONB266" s="651"/>
      <c r="ONC266" s="691"/>
      <c r="OND266" s="651"/>
      <c r="ONE266" s="691"/>
      <c r="ONF266" s="651"/>
      <c r="ONG266" s="691"/>
      <c r="ONH266" s="651"/>
      <c r="ONI266" s="691"/>
      <c r="ONJ266" s="651"/>
      <c r="ONK266" s="691"/>
      <c r="ONL266" s="651"/>
      <c r="ONM266" s="691"/>
      <c r="ONN266" s="651"/>
      <c r="ONO266" s="691"/>
      <c r="ONP266" s="651"/>
      <c r="ONQ266" s="691"/>
      <c r="ONR266" s="651"/>
      <c r="ONS266" s="691"/>
      <c r="ONT266" s="651"/>
      <c r="ONU266" s="691"/>
      <c r="ONV266" s="651"/>
      <c r="ONW266" s="691"/>
      <c r="ONX266" s="651"/>
      <c r="ONY266" s="691"/>
      <c r="ONZ266" s="651"/>
      <c r="OOA266" s="691"/>
      <c r="OOB266" s="651"/>
      <c r="OOC266" s="691"/>
      <c r="OOD266" s="651"/>
      <c r="OOE266" s="691"/>
      <c r="OOF266" s="651"/>
      <c r="OOG266" s="691"/>
      <c r="OOH266" s="651"/>
      <c r="OOI266" s="691"/>
      <c r="OOJ266" s="651"/>
      <c r="OOK266" s="691"/>
      <c r="OOL266" s="651"/>
      <c r="OOM266" s="691"/>
      <c r="OON266" s="651"/>
      <c r="OOO266" s="691"/>
      <c r="OOP266" s="651"/>
      <c r="OOQ266" s="691"/>
      <c r="OOR266" s="651"/>
      <c r="OOS266" s="691"/>
      <c r="OOT266" s="651"/>
      <c r="OOU266" s="691"/>
      <c r="OOV266" s="651"/>
      <c r="OOW266" s="691"/>
      <c r="OOX266" s="651"/>
      <c r="OOY266" s="691"/>
      <c r="OOZ266" s="651"/>
      <c r="OPA266" s="691"/>
      <c r="OPB266" s="651"/>
      <c r="OPC266" s="691"/>
      <c r="OPD266" s="651"/>
      <c r="OPE266" s="691"/>
      <c r="OPF266" s="651"/>
      <c r="OPG266" s="691"/>
      <c r="OPH266" s="651"/>
      <c r="OPI266" s="691"/>
      <c r="OPJ266" s="651"/>
      <c r="OPK266" s="691"/>
      <c r="OPL266" s="651"/>
      <c r="OPM266" s="691"/>
      <c r="OPN266" s="651"/>
      <c r="OPO266" s="691"/>
      <c r="OPP266" s="651"/>
      <c r="OPQ266" s="691"/>
      <c r="OPR266" s="651"/>
      <c r="OPS266" s="691"/>
      <c r="OPT266" s="651"/>
      <c r="OPU266" s="691"/>
      <c r="OPV266" s="651"/>
      <c r="OPW266" s="691"/>
      <c r="OPX266" s="651"/>
      <c r="OPY266" s="691"/>
      <c r="OPZ266" s="651"/>
      <c r="OQA266" s="691"/>
      <c r="OQB266" s="651"/>
      <c r="OQC266" s="691"/>
      <c r="OQD266" s="651"/>
      <c r="OQE266" s="691"/>
      <c r="OQF266" s="651"/>
      <c r="OQG266" s="691"/>
      <c r="OQH266" s="651"/>
      <c r="OQI266" s="691"/>
      <c r="OQJ266" s="651"/>
      <c r="OQK266" s="691"/>
      <c r="OQL266" s="651"/>
      <c r="OQM266" s="691"/>
      <c r="OQN266" s="651"/>
      <c r="OQO266" s="691"/>
      <c r="OQP266" s="651"/>
      <c r="OQQ266" s="691"/>
      <c r="OQR266" s="651"/>
      <c r="OQS266" s="691"/>
      <c r="OQT266" s="651"/>
      <c r="OQU266" s="691"/>
      <c r="OQV266" s="651"/>
      <c r="OQW266" s="691"/>
      <c r="OQX266" s="651"/>
      <c r="OQY266" s="691"/>
      <c r="OQZ266" s="651"/>
      <c r="ORA266" s="691"/>
      <c r="ORB266" s="651"/>
      <c r="ORC266" s="691"/>
      <c r="ORD266" s="651"/>
      <c r="ORE266" s="691"/>
      <c r="ORF266" s="651"/>
      <c r="ORG266" s="691"/>
      <c r="ORH266" s="651"/>
      <c r="ORI266" s="691"/>
      <c r="ORJ266" s="651"/>
      <c r="ORK266" s="691"/>
      <c r="ORL266" s="651"/>
      <c r="ORM266" s="691"/>
      <c r="ORN266" s="651"/>
      <c r="ORO266" s="691"/>
      <c r="ORP266" s="651"/>
      <c r="ORQ266" s="691"/>
      <c r="ORR266" s="651"/>
      <c r="ORS266" s="691"/>
      <c r="ORT266" s="651"/>
      <c r="ORU266" s="691"/>
      <c r="ORV266" s="651"/>
      <c r="ORW266" s="691"/>
      <c r="ORX266" s="651"/>
      <c r="ORY266" s="691"/>
      <c r="ORZ266" s="651"/>
      <c r="OSA266" s="691"/>
      <c r="OSB266" s="651"/>
      <c r="OSC266" s="691"/>
      <c r="OSD266" s="651"/>
      <c r="OSE266" s="691"/>
      <c r="OSF266" s="651"/>
      <c r="OSG266" s="691"/>
      <c r="OSH266" s="651"/>
      <c r="OSI266" s="691"/>
      <c r="OSJ266" s="651"/>
      <c r="OSK266" s="691"/>
      <c r="OSL266" s="651"/>
      <c r="OSM266" s="691"/>
      <c r="OSN266" s="651"/>
      <c r="OSO266" s="691"/>
      <c r="OSP266" s="651"/>
      <c r="OSQ266" s="691"/>
      <c r="OSR266" s="651"/>
      <c r="OSS266" s="691"/>
      <c r="OST266" s="651"/>
      <c r="OSU266" s="691"/>
      <c r="OSV266" s="651"/>
      <c r="OSW266" s="691"/>
      <c r="OSX266" s="651"/>
      <c r="OSY266" s="691"/>
      <c r="OSZ266" s="651"/>
      <c r="OTA266" s="691"/>
      <c r="OTB266" s="651"/>
      <c r="OTC266" s="691"/>
      <c r="OTD266" s="651"/>
      <c r="OTE266" s="691"/>
      <c r="OTF266" s="651"/>
      <c r="OTG266" s="691"/>
      <c r="OTH266" s="651"/>
      <c r="OTI266" s="691"/>
      <c r="OTJ266" s="651"/>
      <c r="OTK266" s="691"/>
      <c r="OTL266" s="651"/>
      <c r="OTM266" s="691"/>
      <c r="OTN266" s="651"/>
      <c r="OTO266" s="691"/>
      <c r="OTP266" s="651"/>
      <c r="OTQ266" s="691"/>
      <c r="OTR266" s="651"/>
      <c r="OTS266" s="691"/>
      <c r="OTT266" s="651"/>
      <c r="OTU266" s="691"/>
      <c r="OTV266" s="651"/>
      <c r="OTW266" s="691"/>
      <c r="OTX266" s="651"/>
      <c r="OTY266" s="691"/>
      <c r="OTZ266" s="651"/>
      <c r="OUA266" s="691"/>
      <c r="OUB266" s="651"/>
      <c r="OUC266" s="691"/>
      <c r="OUD266" s="651"/>
      <c r="OUE266" s="691"/>
      <c r="OUF266" s="651"/>
      <c r="OUG266" s="691"/>
      <c r="OUH266" s="651"/>
      <c r="OUI266" s="691"/>
      <c r="OUJ266" s="651"/>
      <c r="OUK266" s="691"/>
      <c r="OUL266" s="651"/>
      <c r="OUM266" s="691"/>
      <c r="OUN266" s="651"/>
      <c r="OUO266" s="691"/>
      <c r="OUP266" s="651"/>
      <c r="OUQ266" s="691"/>
      <c r="OUR266" s="651"/>
      <c r="OUS266" s="691"/>
      <c r="OUT266" s="651"/>
      <c r="OUU266" s="691"/>
      <c r="OUV266" s="651"/>
      <c r="OUW266" s="691"/>
      <c r="OUX266" s="651"/>
      <c r="OUY266" s="691"/>
      <c r="OUZ266" s="651"/>
      <c r="OVA266" s="691"/>
      <c r="OVB266" s="651"/>
      <c r="OVC266" s="691"/>
      <c r="OVD266" s="651"/>
      <c r="OVE266" s="691"/>
      <c r="OVF266" s="651"/>
      <c r="OVG266" s="691"/>
      <c r="OVH266" s="651"/>
      <c r="OVI266" s="691"/>
      <c r="OVJ266" s="651"/>
      <c r="OVK266" s="691"/>
      <c r="OVL266" s="651"/>
      <c r="OVM266" s="691"/>
      <c r="OVN266" s="651"/>
      <c r="OVO266" s="691"/>
      <c r="OVP266" s="651"/>
      <c r="OVQ266" s="691"/>
      <c r="OVR266" s="651"/>
      <c r="OVS266" s="691"/>
      <c r="OVT266" s="651"/>
      <c r="OVU266" s="691"/>
      <c r="OVV266" s="651"/>
      <c r="OVW266" s="691"/>
      <c r="OVX266" s="651"/>
      <c r="OVY266" s="691"/>
      <c r="OVZ266" s="651"/>
      <c r="OWA266" s="691"/>
      <c r="OWB266" s="651"/>
      <c r="OWC266" s="691"/>
      <c r="OWD266" s="651"/>
      <c r="OWE266" s="691"/>
      <c r="OWF266" s="651"/>
      <c r="OWG266" s="691"/>
      <c r="OWH266" s="651"/>
      <c r="OWI266" s="691"/>
      <c r="OWJ266" s="651"/>
      <c r="OWK266" s="691"/>
      <c r="OWL266" s="651"/>
      <c r="OWM266" s="691"/>
      <c r="OWN266" s="651"/>
      <c r="OWO266" s="691"/>
      <c r="OWP266" s="651"/>
      <c r="OWQ266" s="691"/>
      <c r="OWR266" s="651"/>
      <c r="OWS266" s="691"/>
      <c r="OWT266" s="651"/>
      <c r="OWU266" s="691"/>
      <c r="OWV266" s="651"/>
      <c r="OWW266" s="691"/>
      <c r="OWX266" s="651"/>
      <c r="OWY266" s="691"/>
      <c r="OWZ266" s="651"/>
      <c r="OXA266" s="691"/>
      <c r="OXB266" s="651"/>
      <c r="OXC266" s="691"/>
      <c r="OXD266" s="651"/>
      <c r="OXE266" s="691"/>
      <c r="OXF266" s="651"/>
      <c r="OXG266" s="691"/>
      <c r="OXH266" s="651"/>
      <c r="OXI266" s="691"/>
      <c r="OXJ266" s="651"/>
      <c r="OXK266" s="691"/>
      <c r="OXL266" s="651"/>
      <c r="OXM266" s="691"/>
      <c r="OXN266" s="651"/>
      <c r="OXO266" s="691"/>
      <c r="OXP266" s="651"/>
      <c r="OXQ266" s="691"/>
      <c r="OXR266" s="651"/>
      <c r="OXS266" s="691"/>
      <c r="OXT266" s="651"/>
      <c r="OXU266" s="691"/>
      <c r="OXV266" s="651"/>
      <c r="OXW266" s="691"/>
      <c r="OXX266" s="651"/>
      <c r="OXY266" s="691"/>
      <c r="OXZ266" s="651"/>
      <c r="OYA266" s="691"/>
      <c r="OYB266" s="651"/>
      <c r="OYC266" s="691"/>
      <c r="OYD266" s="651"/>
      <c r="OYE266" s="691"/>
      <c r="OYF266" s="651"/>
      <c r="OYG266" s="691"/>
      <c r="OYH266" s="651"/>
      <c r="OYI266" s="691"/>
      <c r="OYJ266" s="651"/>
      <c r="OYK266" s="691"/>
      <c r="OYL266" s="651"/>
      <c r="OYM266" s="691"/>
      <c r="OYN266" s="651"/>
      <c r="OYO266" s="691"/>
      <c r="OYP266" s="651"/>
      <c r="OYQ266" s="691"/>
      <c r="OYR266" s="651"/>
      <c r="OYS266" s="691"/>
      <c r="OYT266" s="651"/>
      <c r="OYU266" s="691"/>
      <c r="OYV266" s="651"/>
      <c r="OYW266" s="691"/>
      <c r="OYX266" s="651"/>
      <c r="OYY266" s="691"/>
      <c r="OYZ266" s="651"/>
      <c r="OZA266" s="691"/>
      <c r="OZB266" s="651"/>
      <c r="OZC266" s="691"/>
      <c r="OZD266" s="651"/>
      <c r="OZE266" s="691"/>
      <c r="OZF266" s="651"/>
      <c r="OZG266" s="691"/>
      <c r="OZH266" s="651"/>
      <c r="OZI266" s="691"/>
      <c r="OZJ266" s="651"/>
      <c r="OZK266" s="691"/>
      <c r="OZL266" s="651"/>
      <c r="OZM266" s="691"/>
      <c r="OZN266" s="651"/>
      <c r="OZO266" s="691"/>
      <c r="OZP266" s="651"/>
      <c r="OZQ266" s="691"/>
      <c r="OZR266" s="651"/>
      <c r="OZS266" s="691"/>
      <c r="OZT266" s="651"/>
      <c r="OZU266" s="691"/>
      <c r="OZV266" s="651"/>
      <c r="OZW266" s="691"/>
      <c r="OZX266" s="651"/>
      <c r="OZY266" s="691"/>
      <c r="OZZ266" s="651"/>
      <c r="PAA266" s="691"/>
      <c r="PAB266" s="651"/>
      <c r="PAC266" s="691"/>
      <c r="PAD266" s="651"/>
      <c r="PAE266" s="691"/>
      <c r="PAF266" s="651"/>
      <c r="PAG266" s="691"/>
      <c r="PAH266" s="651"/>
      <c r="PAI266" s="691"/>
      <c r="PAJ266" s="651"/>
      <c r="PAK266" s="691"/>
      <c r="PAL266" s="651"/>
      <c r="PAM266" s="691"/>
      <c r="PAN266" s="651"/>
      <c r="PAO266" s="691"/>
      <c r="PAP266" s="651"/>
      <c r="PAQ266" s="691"/>
      <c r="PAR266" s="651"/>
      <c r="PAS266" s="691"/>
      <c r="PAT266" s="651"/>
      <c r="PAU266" s="691"/>
      <c r="PAV266" s="651"/>
      <c r="PAW266" s="691"/>
      <c r="PAX266" s="651"/>
      <c r="PAY266" s="691"/>
      <c r="PAZ266" s="651"/>
      <c r="PBA266" s="691"/>
      <c r="PBB266" s="651"/>
      <c r="PBC266" s="691"/>
      <c r="PBD266" s="651"/>
      <c r="PBE266" s="691"/>
      <c r="PBF266" s="651"/>
      <c r="PBG266" s="691"/>
      <c r="PBH266" s="651"/>
      <c r="PBI266" s="691"/>
      <c r="PBJ266" s="651"/>
      <c r="PBK266" s="691"/>
      <c r="PBL266" s="651"/>
      <c r="PBM266" s="691"/>
      <c r="PBN266" s="651"/>
      <c r="PBO266" s="691"/>
      <c r="PBP266" s="651"/>
      <c r="PBQ266" s="691"/>
      <c r="PBR266" s="651"/>
      <c r="PBS266" s="691"/>
      <c r="PBT266" s="651"/>
      <c r="PBU266" s="691"/>
      <c r="PBV266" s="651"/>
      <c r="PBW266" s="691"/>
      <c r="PBX266" s="651"/>
      <c r="PBY266" s="691"/>
      <c r="PBZ266" s="651"/>
      <c r="PCA266" s="691"/>
      <c r="PCB266" s="651"/>
      <c r="PCC266" s="691"/>
      <c r="PCD266" s="651"/>
      <c r="PCE266" s="691"/>
      <c r="PCF266" s="651"/>
      <c r="PCG266" s="691"/>
      <c r="PCH266" s="651"/>
      <c r="PCI266" s="691"/>
      <c r="PCJ266" s="651"/>
      <c r="PCK266" s="691"/>
      <c r="PCL266" s="651"/>
      <c r="PCM266" s="691"/>
      <c r="PCN266" s="651"/>
      <c r="PCO266" s="691"/>
      <c r="PCP266" s="651"/>
      <c r="PCQ266" s="691"/>
      <c r="PCR266" s="651"/>
      <c r="PCS266" s="691"/>
      <c r="PCT266" s="651"/>
      <c r="PCU266" s="691"/>
      <c r="PCV266" s="651"/>
      <c r="PCW266" s="691"/>
      <c r="PCX266" s="651"/>
      <c r="PCY266" s="691"/>
      <c r="PCZ266" s="651"/>
      <c r="PDA266" s="691"/>
      <c r="PDB266" s="651"/>
      <c r="PDC266" s="691"/>
      <c r="PDD266" s="651"/>
      <c r="PDE266" s="691"/>
      <c r="PDF266" s="651"/>
      <c r="PDG266" s="691"/>
      <c r="PDH266" s="651"/>
      <c r="PDI266" s="691"/>
      <c r="PDJ266" s="651"/>
      <c r="PDK266" s="691"/>
      <c r="PDL266" s="651"/>
      <c r="PDM266" s="691"/>
      <c r="PDN266" s="651"/>
      <c r="PDO266" s="691"/>
      <c r="PDP266" s="651"/>
      <c r="PDQ266" s="691"/>
      <c r="PDR266" s="651"/>
      <c r="PDS266" s="691"/>
      <c r="PDT266" s="651"/>
      <c r="PDU266" s="691"/>
      <c r="PDV266" s="651"/>
      <c r="PDW266" s="691"/>
      <c r="PDX266" s="651"/>
      <c r="PDY266" s="691"/>
      <c r="PDZ266" s="651"/>
      <c r="PEA266" s="691"/>
      <c r="PEB266" s="651"/>
      <c r="PEC266" s="691"/>
      <c r="PED266" s="651"/>
      <c r="PEE266" s="691"/>
      <c r="PEF266" s="651"/>
      <c r="PEG266" s="691"/>
      <c r="PEH266" s="651"/>
      <c r="PEI266" s="691"/>
      <c r="PEJ266" s="651"/>
      <c r="PEK266" s="691"/>
      <c r="PEL266" s="651"/>
      <c r="PEM266" s="691"/>
      <c r="PEN266" s="651"/>
      <c r="PEO266" s="691"/>
      <c r="PEP266" s="651"/>
      <c r="PEQ266" s="691"/>
      <c r="PER266" s="651"/>
      <c r="PES266" s="691"/>
      <c r="PET266" s="651"/>
      <c r="PEU266" s="691"/>
      <c r="PEV266" s="651"/>
      <c r="PEW266" s="691"/>
      <c r="PEX266" s="651"/>
      <c r="PEY266" s="691"/>
      <c r="PEZ266" s="651"/>
      <c r="PFA266" s="691"/>
      <c r="PFB266" s="651"/>
      <c r="PFC266" s="691"/>
      <c r="PFD266" s="651"/>
      <c r="PFE266" s="691"/>
      <c r="PFF266" s="651"/>
      <c r="PFG266" s="691"/>
      <c r="PFH266" s="651"/>
      <c r="PFI266" s="691"/>
      <c r="PFJ266" s="651"/>
      <c r="PFK266" s="691"/>
      <c r="PFL266" s="651"/>
      <c r="PFM266" s="691"/>
      <c r="PFN266" s="651"/>
      <c r="PFO266" s="691"/>
      <c r="PFP266" s="651"/>
      <c r="PFQ266" s="691"/>
      <c r="PFR266" s="651"/>
      <c r="PFS266" s="691"/>
      <c r="PFT266" s="651"/>
      <c r="PFU266" s="691"/>
      <c r="PFV266" s="651"/>
      <c r="PFW266" s="691"/>
      <c r="PFX266" s="651"/>
      <c r="PFY266" s="691"/>
      <c r="PFZ266" s="651"/>
      <c r="PGA266" s="691"/>
      <c r="PGB266" s="651"/>
      <c r="PGC266" s="691"/>
      <c r="PGD266" s="651"/>
      <c r="PGE266" s="691"/>
      <c r="PGF266" s="651"/>
      <c r="PGG266" s="691"/>
      <c r="PGH266" s="651"/>
      <c r="PGI266" s="691"/>
      <c r="PGJ266" s="651"/>
      <c r="PGK266" s="691"/>
      <c r="PGL266" s="651"/>
      <c r="PGM266" s="691"/>
      <c r="PGN266" s="651"/>
      <c r="PGO266" s="691"/>
      <c r="PGP266" s="651"/>
      <c r="PGQ266" s="691"/>
      <c r="PGR266" s="651"/>
      <c r="PGS266" s="691"/>
      <c r="PGT266" s="651"/>
      <c r="PGU266" s="691"/>
      <c r="PGV266" s="651"/>
      <c r="PGW266" s="691"/>
      <c r="PGX266" s="651"/>
      <c r="PGY266" s="691"/>
      <c r="PGZ266" s="651"/>
      <c r="PHA266" s="691"/>
      <c r="PHB266" s="651"/>
      <c r="PHC266" s="691"/>
      <c r="PHD266" s="651"/>
      <c r="PHE266" s="691"/>
      <c r="PHF266" s="651"/>
      <c r="PHG266" s="691"/>
      <c r="PHH266" s="651"/>
      <c r="PHI266" s="691"/>
      <c r="PHJ266" s="651"/>
      <c r="PHK266" s="691"/>
      <c r="PHL266" s="651"/>
      <c r="PHM266" s="691"/>
      <c r="PHN266" s="651"/>
      <c r="PHO266" s="691"/>
      <c r="PHP266" s="651"/>
      <c r="PHQ266" s="691"/>
      <c r="PHR266" s="651"/>
      <c r="PHS266" s="691"/>
      <c r="PHT266" s="651"/>
      <c r="PHU266" s="691"/>
      <c r="PHV266" s="651"/>
      <c r="PHW266" s="691"/>
      <c r="PHX266" s="651"/>
      <c r="PHY266" s="691"/>
      <c r="PHZ266" s="651"/>
      <c r="PIA266" s="691"/>
      <c r="PIB266" s="651"/>
      <c r="PIC266" s="691"/>
      <c r="PID266" s="651"/>
      <c r="PIE266" s="691"/>
      <c r="PIF266" s="651"/>
      <c r="PIG266" s="691"/>
      <c r="PIH266" s="651"/>
      <c r="PII266" s="691"/>
      <c r="PIJ266" s="651"/>
      <c r="PIK266" s="691"/>
      <c r="PIL266" s="651"/>
      <c r="PIM266" s="691"/>
      <c r="PIN266" s="651"/>
      <c r="PIO266" s="691"/>
      <c r="PIP266" s="651"/>
      <c r="PIQ266" s="691"/>
      <c r="PIR266" s="651"/>
      <c r="PIS266" s="691"/>
      <c r="PIT266" s="651"/>
      <c r="PIU266" s="691"/>
      <c r="PIV266" s="651"/>
      <c r="PIW266" s="691"/>
      <c r="PIX266" s="651"/>
      <c r="PIY266" s="691"/>
      <c r="PIZ266" s="651"/>
      <c r="PJA266" s="691"/>
      <c r="PJB266" s="651"/>
      <c r="PJC266" s="691"/>
      <c r="PJD266" s="651"/>
      <c r="PJE266" s="691"/>
      <c r="PJF266" s="651"/>
      <c r="PJG266" s="691"/>
      <c r="PJH266" s="651"/>
      <c r="PJI266" s="691"/>
      <c r="PJJ266" s="651"/>
      <c r="PJK266" s="691"/>
      <c r="PJL266" s="651"/>
      <c r="PJM266" s="691"/>
      <c r="PJN266" s="651"/>
      <c r="PJO266" s="691"/>
      <c r="PJP266" s="651"/>
      <c r="PJQ266" s="691"/>
      <c r="PJR266" s="651"/>
      <c r="PJS266" s="691"/>
      <c r="PJT266" s="651"/>
      <c r="PJU266" s="691"/>
      <c r="PJV266" s="651"/>
      <c r="PJW266" s="691"/>
      <c r="PJX266" s="651"/>
      <c r="PJY266" s="691"/>
      <c r="PJZ266" s="651"/>
      <c r="PKA266" s="691"/>
      <c r="PKB266" s="651"/>
      <c r="PKC266" s="691"/>
      <c r="PKD266" s="651"/>
      <c r="PKE266" s="691"/>
      <c r="PKF266" s="651"/>
      <c r="PKG266" s="691"/>
      <c r="PKH266" s="651"/>
      <c r="PKI266" s="691"/>
      <c r="PKJ266" s="651"/>
      <c r="PKK266" s="691"/>
      <c r="PKL266" s="651"/>
      <c r="PKM266" s="691"/>
      <c r="PKN266" s="651"/>
      <c r="PKO266" s="691"/>
      <c r="PKP266" s="651"/>
      <c r="PKQ266" s="691"/>
      <c r="PKR266" s="651"/>
      <c r="PKS266" s="691"/>
      <c r="PKT266" s="651"/>
      <c r="PKU266" s="691"/>
      <c r="PKV266" s="651"/>
      <c r="PKW266" s="691"/>
      <c r="PKX266" s="651"/>
      <c r="PKY266" s="691"/>
      <c r="PKZ266" s="651"/>
      <c r="PLA266" s="691"/>
      <c r="PLB266" s="651"/>
      <c r="PLC266" s="691"/>
      <c r="PLD266" s="651"/>
      <c r="PLE266" s="691"/>
      <c r="PLF266" s="651"/>
      <c r="PLG266" s="691"/>
      <c r="PLH266" s="651"/>
      <c r="PLI266" s="691"/>
      <c r="PLJ266" s="651"/>
      <c r="PLK266" s="691"/>
      <c r="PLL266" s="651"/>
      <c r="PLM266" s="691"/>
      <c r="PLN266" s="651"/>
      <c r="PLO266" s="691"/>
      <c r="PLP266" s="651"/>
      <c r="PLQ266" s="691"/>
      <c r="PLR266" s="651"/>
      <c r="PLS266" s="691"/>
      <c r="PLT266" s="651"/>
      <c r="PLU266" s="691"/>
      <c r="PLV266" s="651"/>
      <c r="PLW266" s="691"/>
      <c r="PLX266" s="651"/>
      <c r="PLY266" s="691"/>
      <c r="PLZ266" s="651"/>
      <c r="PMA266" s="691"/>
      <c r="PMB266" s="651"/>
      <c r="PMC266" s="691"/>
      <c r="PMD266" s="651"/>
      <c r="PME266" s="691"/>
      <c r="PMF266" s="651"/>
      <c r="PMG266" s="691"/>
      <c r="PMH266" s="651"/>
      <c r="PMI266" s="691"/>
      <c r="PMJ266" s="651"/>
      <c r="PMK266" s="691"/>
      <c r="PML266" s="651"/>
      <c r="PMM266" s="691"/>
      <c r="PMN266" s="651"/>
      <c r="PMO266" s="691"/>
      <c r="PMP266" s="651"/>
      <c r="PMQ266" s="691"/>
      <c r="PMR266" s="651"/>
      <c r="PMS266" s="691"/>
      <c r="PMT266" s="651"/>
      <c r="PMU266" s="691"/>
      <c r="PMV266" s="651"/>
      <c r="PMW266" s="691"/>
      <c r="PMX266" s="651"/>
      <c r="PMY266" s="691"/>
      <c r="PMZ266" s="651"/>
      <c r="PNA266" s="691"/>
      <c r="PNB266" s="651"/>
      <c r="PNC266" s="691"/>
      <c r="PND266" s="651"/>
      <c r="PNE266" s="691"/>
      <c r="PNF266" s="651"/>
      <c r="PNG266" s="691"/>
      <c r="PNH266" s="651"/>
      <c r="PNI266" s="691"/>
      <c r="PNJ266" s="651"/>
      <c r="PNK266" s="691"/>
      <c r="PNL266" s="651"/>
      <c r="PNM266" s="691"/>
      <c r="PNN266" s="651"/>
      <c r="PNO266" s="691"/>
      <c r="PNP266" s="651"/>
      <c r="PNQ266" s="691"/>
      <c r="PNR266" s="651"/>
      <c r="PNS266" s="691"/>
      <c r="PNT266" s="651"/>
      <c r="PNU266" s="691"/>
      <c r="PNV266" s="651"/>
      <c r="PNW266" s="691"/>
      <c r="PNX266" s="651"/>
      <c r="PNY266" s="691"/>
      <c r="PNZ266" s="651"/>
      <c r="POA266" s="691"/>
      <c r="POB266" s="651"/>
      <c r="POC266" s="691"/>
      <c r="POD266" s="651"/>
      <c r="POE266" s="691"/>
      <c r="POF266" s="651"/>
      <c r="POG266" s="691"/>
      <c r="POH266" s="651"/>
      <c r="POI266" s="691"/>
      <c r="POJ266" s="651"/>
      <c r="POK266" s="691"/>
      <c r="POL266" s="651"/>
      <c r="POM266" s="691"/>
      <c r="PON266" s="651"/>
      <c r="POO266" s="691"/>
      <c r="POP266" s="651"/>
      <c r="POQ266" s="691"/>
      <c r="POR266" s="651"/>
      <c r="POS266" s="691"/>
      <c r="POT266" s="651"/>
      <c r="POU266" s="691"/>
      <c r="POV266" s="651"/>
      <c r="POW266" s="691"/>
      <c r="POX266" s="651"/>
      <c r="POY266" s="691"/>
      <c r="POZ266" s="651"/>
      <c r="PPA266" s="691"/>
      <c r="PPB266" s="651"/>
      <c r="PPC266" s="691"/>
      <c r="PPD266" s="651"/>
      <c r="PPE266" s="691"/>
      <c r="PPF266" s="651"/>
      <c r="PPG266" s="691"/>
      <c r="PPH266" s="651"/>
      <c r="PPI266" s="691"/>
      <c r="PPJ266" s="651"/>
      <c r="PPK266" s="691"/>
      <c r="PPL266" s="651"/>
      <c r="PPM266" s="691"/>
      <c r="PPN266" s="651"/>
      <c r="PPO266" s="691"/>
      <c r="PPP266" s="651"/>
      <c r="PPQ266" s="691"/>
      <c r="PPR266" s="651"/>
      <c r="PPS266" s="691"/>
      <c r="PPT266" s="651"/>
      <c r="PPU266" s="691"/>
      <c r="PPV266" s="651"/>
      <c r="PPW266" s="691"/>
      <c r="PPX266" s="651"/>
      <c r="PPY266" s="691"/>
      <c r="PPZ266" s="651"/>
      <c r="PQA266" s="691"/>
      <c r="PQB266" s="651"/>
      <c r="PQC266" s="691"/>
      <c r="PQD266" s="651"/>
      <c r="PQE266" s="691"/>
      <c r="PQF266" s="651"/>
      <c r="PQG266" s="691"/>
      <c r="PQH266" s="651"/>
      <c r="PQI266" s="691"/>
      <c r="PQJ266" s="651"/>
      <c r="PQK266" s="691"/>
      <c r="PQL266" s="651"/>
      <c r="PQM266" s="691"/>
      <c r="PQN266" s="651"/>
      <c r="PQO266" s="691"/>
      <c r="PQP266" s="651"/>
      <c r="PQQ266" s="691"/>
      <c r="PQR266" s="651"/>
      <c r="PQS266" s="691"/>
      <c r="PQT266" s="651"/>
      <c r="PQU266" s="691"/>
      <c r="PQV266" s="651"/>
      <c r="PQW266" s="691"/>
      <c r="PQX266" s="651"/>
      <c r="PQY266" s="691"/>
      <c r="PQZ266" s="651"/>
      <c r="PRA266" s="691"/>
      <c r="PRB266" s="651"/>
      <c r="PRC266" s="691"/>
      <c r="PRD266" s="651"/>
      <c r="PRE266" s="691"/>
      <c r="PRF266" s="651"/>
      <c r="PRG266" s="691"/>
      <c r="PRH266" s="651"/>
      <c r="PRI266" s="691"/>
      <c r="PRJ266" s="651"/>
      <c r="PRK266" s="691"/>
      <c r="PRL266" s="651"/>
      <c r="PRM266" s="691"/>
      <c r="PRN266" s="651"/>
      <c r="PRO266" s="691"/>
      <c r="PRP266" s="651"/>
      <c r="PRQ266" s="691"/>
      <c r="PRR266" s="651"/>
      <c r="PRS266" s="691"/>
      <c r="PRT266" s="651"/>
      <c r="PRU266" s="691"/>
      <c r="PRV266" s="651"/>
      <c r="PRW266" s="691"/>
      <c r="PRX266" s="651"/>
      <c r="PRY266" s="691"/>
      <c r="PRZ266" s="651"/>
      <c r="PSA266" s="691"/>
      <c r="PSB266" s="651"/>
      <c r="PSC266" s="691"/>
      <c r="PSD266" s="651"/>
      <c r="PSE266" s="691"/>
      <c r="PSF266" s="651"/>
      <c r="PSG266" s="691"/>
      <c r="PSH266" s="651"/>
      <c r="PSI266" s="691"/>
      <c r="PSJ266" s="651"/>
      <c r="PSK266" s="691"/>
      <c r="PSL266" s="651"/>
      <c r="PSM266" s="691"/>
      <c r="PSN266" s="651"/>
      <c r="PSO266" s="691"/>
      <c r="PSP266" s="651"/>
      <c r="PSQ266" s="691"/>
      <c r="PSR266" s="651"/>
      <c r="PSS266" s="691"/>
      <c r="PST266" s="651"/>
      <c r="PSU266" s="691"/>
      <c r="PSV266" s="651"/>
      <c r="PSW266" s="691"/>
      <c r="PSX266" s="651"/>
      <c r="PSY266" s="691"/>
      <c r="PSZ266" s="651"/>
      <c r="PTA266" s="691"/>
      <c r="PTB266" s="651"/>
      <c r="PTC266" s="691"/>
      <c r="PTD266" s="651"/>
      <c r="PTE266" s="691"/>
      <c r="PTF266" s="651"/>
      <c r="PTG266" s="691"/>
      <c r="PTH266" s="651"/>
      <c r="PTI266" s="691"/>
      <c r="PTJ266" s="651"/>
      <c r="PTK266" s="691"/>
      <c r="PTL266" s="651"/>
      <c r="PTM266" s="691"/>
      <c r="PTN266" s="651"/>
      <c r="PTO266" s="691"/>
      <c r="PTP266" s="651"/>
      <c r="PTQ266" s="691"/>
      <c r="PTR266" s="651"/>
      <c r="PTS266" s="691"/>
      <c r="PTT266" s="651"/>
      <c r="PTU266" s="691"/>
      <c r="PTV266" s="651"/>
      <c r="PTW266" s="691"/>
      <c r="PTX266" s="651"/>
      <c r="PTY266" s="691"/>
      <c r="PTZ266" s="651"/>
      <c r="PUA266" s="691"/>
      <c r="PUB266" s="651"/>
      <c r="PUC266" s="691"/>
      <c r="PUD266" s="651"/>
      <c r="PUE266" s="691"/>
      <c r="PUF266" s="651"/>
      <c r="PUG266" s="691"/>
      <c r="PUH266" s="651"/>
      <c r="PUI266" s="691"/>
      <c r="PUJ266" s="651"/>
      <c r="PUK266" s="691"/>
      <c r="PUL266" s="651"/>
      <c r="PUM266" s="691"/>
      <c r="PUN266" s="651"/>
      <c r="PUO266" s="691"/>
      <c r="PUP266" s="651"/>
      <c r="PUQ266" s="691"/>
      <c r="PUR266" s="651"/>
      <c r="PUS266" s="691"/>
      <c r="PUT266" s="651"/>
      <c r="PUU266" s="691"/>
      <c r="PUV266" s="651"/>
      <c r="PUW266" s="691"/>
      <c r="PUX266" s="651"/>
      <c r="PUY266" s="691"/>
      <c r="PUZ266" s="651"/>
      <c r="PVA266" s="691"/>
      <c r="PVB266" s="651"/>
      <c r="PVC266" s="691"/>
      <c r="PVD266" s="651"/>
      <c r="PVE266" s="691"/>
      <c r="PVF266" s="651"/>
      <c r="PVG266" s="691"/>
      <c r="PVH266" s="651"/>
      <c r="PVI266" s="691"/>
      <c r="PVJ266" s="651"/>
      <c r="PVK266" s="691"/>
      <c r="PVL266" s="651"/>
      <c r="PVM266" s="691"/>
      <c r="PVN266" s="651"/>
      <c r="PVO266" s="691"/>
      <c r="PVP266" s="651"/>
      <c r="PVQ266" s="691"/>
      <c r="PVR266" s="651"/>
      <c r="PVS266" s="691"/>
      <c r="PVT266" s="651"/>
      <c r="PVU266" s="691"/>
      <c r="PVV266" s="651"/>
      <c r="PVW266" s="691"/>
      <c r="PVX266" s="651"/>
      <c r="PVY266" s="691"/>
      <c r="PVZ266" s="651"/>
      <c r="PWA266" s="691"/>
      <c r="PWB266" s="651"/>
      <c r="PWC266" s="691"/>
      <c r="PWD266" s="651"/>
      <c r="PWE266" s="691"/>
      <c r="PWF266" s="651"/>
      <c r="PWG266" s="691"/>
      <c r="PWH266" s="651"/>
      <c r="PWI266" s="691"/>
      <c r="PWJ266" s="651"/>
      <c r="PWK266" s="691"/>
      <c r="PWL266" s="651"/>
      <c r="PWM266" s="691"/>
      <c r="PWN266" s="651"/>
      <c r="PWO266" s="691"/>
      <c r="PWP266" s="651"/>
      <c r="PWQ266" s="691"/>
      <c r="PWR266" s="651"/>
      <c r="PWS266" s="691"/>
      <c r="PWT266" s="651"/>
      <c r="PWU266" s="691"/>
      <c r="PWV266" s="651"/>
      <c r="PWW266" s="691"/>
      <c r="PWX266" s="651"/>
      <c r="PWY266" s="691"/>
      <c r="PWZ266" s="651"/>
      <c r="PXA266" s="691"/>
      <c r="PXB266" s="651"/>
      <c r="PXC266" s="691"/>
      <c r="PXD266" s="651"/>
      <c r="PXE266" s="691"/>
      <c r="PXF266" s="651"/>
      <c r="PXG266" s="691"/>
      <c r="PXH266" s="651"/>
      <c r="PXI266" s="691"/>
      <c r="PXJ266" s="651"/>
      <c r="PXK266" s="691"/>
      <c r="PXL266" s="651"/>
      <c r="PXM266" s="691"/>
      <c r="PXN266" s="651"/>
      <c r="PXO266" s="691"/>
      <c r="PXP266" s="651"/>
      <c r="PXQ266" s="691"/>
      <c r="PXR266" s="651"/>
      <c r="PXS266" s="691"/>
      <c r="PXT266" s="651"/>
      <c r="PXU266" s="691"/>
      <c r="PXV266" s="651"/>
      <c r="PXW266" s="691"/>
      <c r="PXX266" s="651"/>
      <c r="PXY266" s="691"/>
      <c r="PXZ266" s="651"/>
      <c r="PYA266" s="691"/>
      <c r="PYB266" s="651"/>
      <c r="PYC266" s="691"/>
      <c r="PYD266" s="651"/>
      <c r="PYE266" s="691"/>
      <c r="PYF266" s="651"/>
      <c r="PYG266" s="691"/>
      <c r="PYH266" s="651"/>
      <c r="PYI266" s="691"/>
      <c r="PYJ266" s="651"/>
      <c r="PYK266" s="691"/>
      <c r="PYL266" s="651"/>
      <c r="PYM266" s="691"/>
      <c r="PYN266" s="651"/>
      <c r="PYO266" s="691"/>
      <c r="PYP266" s="651"/>
      <c r="PYQ266" s="691"/>
      <c r="PYR266" s="651"/>
      <c r="PYS266" s="691"/>
      <c r="PYT266" s="651"/>
      <c r="PYU266" s="691"/>
      <c r="PYV266" s="651"/>
      <c r="PYW266" s="691"/>
      <c r="PYX266" s="651"/>
      <c r="PYY266" s="691"/>
      <c r="PYZ266" s="651"/>
      <c r="PZA266" s="691"/>
      <c r="PZB266" s="651"/>
      <c r="PZC266" s="691"/>
      <c r="PZD266" s="651"/>
      <c r="PZE266" s="691"/>
      <c r="PZF266" s="651"/>
      <c r="PZG266" s="691"/>
      <c r="PZH266" s="651"/>
      <c r="PZI266" s="691"/>
      <c r="PZJ266" s="651"/>
      <c r="PZK266" s="691"/>
      <c r="PZL266" s="651"/>
      <c r="PZM266" s="691"/>
      <c r="PZN266" s="651"/>
      <c r="PZO266" s="691"/>
      <c r="PZP266" s="651"/>
      <c r="PZQ266" s="691"/>
      <c r="PZR266" s="651"/>
      <c r="PZS266" s="691"/>
      <c r="PZT266" s="651"/>
      <c r="PZU266" s="691"/>
      <c r="PZV266" s="651"/>
      <c r="PZW266" s="691"/>
      <c r="PZX266" s="651"/>
      <c r="PZY266" s="691"/>
      <c r="PZZ266" s="651"/>
      <c r="QAA266" s="691"/>
      <c r="QAB266" s="651"/>
      <c r="QAC266" s="691"/>
      <c r="QAD266" s="651"/>
      <c r="QAE266" s="691"/>
      <c r="QAF266" s="651"/>
      <c r="QAG266" s="691"/>
      <c r="QAH266" s="651"/>
      <c r="QAI266" s="691"/>
      <c r="QAJ266" s="651"/>
      <c r="QAK266" s="691"/>
      <c r="QAL266" s="651"/>
      <c r="QAM266" s="691"/>
      <c r="QAN266" s="651"/>
      <c r="QAO266" s="691"/>
      <c r="QAP266" s="651"/>
      <c r="QAQ266" s="691"/>
      <c r="QAR266" s="651"/>
      <c r="QAS266" s="691"/>
      <c r="QAT266" s="651"/>
      <c r="QAU266" s="691"/>
      <c r="QAV266" s="651"/>
      <c r="QAW266" s="691"/>
      <c r="QAX266" s="651"/>
      <c r="QAY266" s="691"/>
      <c r="QAZ266" s="651"/>
      <c r="QBA266" s="691"/>
      <c r="QBB266" s="651"/>
      <c r="QBC266" s="691"/>
      <c r="QBD266" s="651"/>
      <c r="QBE266" s="691"/>
      <c r="QBF266" s="651"/>
      <c r="QBG266" s="691"/>
      <c r="QBH266" s="651"/>
      <c r="QBI266" s="691"/>
      <c r="QBJ266" s="651"/>
      <c r="QBK266" s="691"/>
      <c r="QBL266" s="651"/>
      <c r="QBM266" s="691"/>
      <c r="QBN266" s="651"/>
      <c r="QBO266" s="691"/>
      <c r="QBP266" s="651"/>
      <c r="QBQ266" s="691"/>
      <c r="QBR266" s="651"/>
      <c r="QBS266" s="691"/>
      <c r="QBT266" s="651"/>
      <c r="QBU266" s="691"/>
      <c r="QBV266" s="651"/>
      <c r="QBW266" s="691"/>
      <c r="QBX266" s="651"/>
      <c r="QBY266" s="691"/>
      <c r="QBZ266" s="651"/>
      <c r="QCA266" s="691"/>
      <c r="QCB266" s="651"/>
      <c r="QCC266" s="691"/>
      <c r="QCD266" s="651"/>
      <c r="QCE266" s="691"/>
      <c r="QCF266" s="651"/>
      <c r="QCG266" s="691"/>
      <c r="QCH266" s="651"/>
      <c r="QCI266" s="691"/>
      <c r="QCJ266" s="651"/>
      <c r="QCK266" s="691"/>
      <c r="QCL266" s="651"/>
      <c r="QCM266" s="691"/>
      <c r="QCN266" s="651"/>
      <c r="QCO266" s="691"/>
      <c r="QCP266" s="651"/>
      <c r="QCQ266" s="691"/>
      <c r="QCR266" s="651"/>
      <c r="QCS266" s="691"/>
      <c r="QCT266" s="651"/>
      <c r="QCU266" s="691"/>
      <c r="QCV266" s="651"/>
      <c r="QCW266" s="691"/>
      <c r="QCX266" s="651"/>
      <c r="QCY266" s="691"/>
      <c r="QCZ266" s="651"/>
      <c r="QDA266" s="691"/>
      <c r="QDB266" s="651"/>
      <c r="QDC266" s="691"/>
      <c r="QDD266" s="651"/>
      <c r="QDE266" s="691"/>
      <c r="QDF266" s="651"/>
      <c r="QDG266" s="691"/>
      <c r="QDH266" s="651"/>
      <c r="QDI266" s="691"/>
      <c r="QDJ266" s="651"/>
      <c r="QDK266" s="691"/>
      <c r="QDL266" s="651"/>
      <c r="QDM266" s="691"/>
      <c r="QDN266" s="651"/>
      <c r="QDO266" s="691"/>
      <c r="QDP266" s="651"/>
      <c r="QDQ266" s="691"/>
      <c r="QDR266" s="651"/>
      <c r="QDS266" s="691"/>
      <c r="QDT266" s="651"/>
      <c r="QDU266" s="691"/>
      <c r="QDV266" s="651"/>
      <c r="QDW266" s="691"/>
      <c r="QDX266" s="651"/>
      <c r="QDY266" s="691"/>
      <c r="QDZ266" s="651"/>
      <c r="QEA266" s="691"/>
      <c r="QEB266" s="651"/>
      <c r="QEC266" s="691"/>
      <c r="QED266" s="651"/>
      <c r="QEE266" s="691"/>
      <c r="QEF266" s="651"/>
      <c r="QEG266" s="691"/>
      <c r="QEH266" s="651"/>
      <c r="QEI266" s="691"/>
      <c r="QEJ266" s="651"/>
      <c r="QEK266" s="691"/>
      <c r="QEL266" s="651"/>
      <c r="QEM266" s="691"/>
      <c r="QEN266" s="651"/>
      <c r="QEO266" s="691"/>
      <c r="QEP266" s="651"/>
      <c r="QEQ266" s="691"/>
      <c r="QER266" s="651"/>
      <c r="QES266" s="691"/>
      <c r="QET266" s="651"/>
      <c r="QEU266" s="691"/>
      <c r="QEV266" s="651"/>
      <c r="QEW266" s="691"/>
      <c r="QEX266" s="651"/>
      <c r="QEY266" s="691"/>
      <c r="QEZ266" s="651"/>
      <c r="QFA266" s="691"/>
      <c r="QFB266" s="651"/>
      <c r="QFC266" s="691"/>
      <c r="QFD266" s="651"/>
      <c r="QFE266" s="691"/>
      <c r="QFF266" s="651"/>
      <c r="QFG266" s="691"/>
      <c r="QFH266" s="651"/>
      <c r="QFI266" s="691"/>
      <c r="QFJ266" s="651"/>
      <c r="QFK266" s="691"/>
      <c r="QFL266" s="651"/>
      <c r="QFM266" s="691"/>
      <c r="QFN266" s="651"/>
      <c r="QFO266" s="691"/>
      <c r="QFP266" s="651"/>
      <c r="QFQ266" s="691"/>
      <c r="QFR266" s="651"/>
      <c r="QFS266" s="691"/>
      <c r="QFT266" s="651"/>
      <c r="QFU266" s="691"/>
      <c r="QFV266" s="651"/>
      <c r="QFW266" s="691"/>
      <c r="QFX266" s="651"/>
      <c r="QFY266" s="691"/>
      <c r="QFZ266" s="651"/>
      <c r="QGA266" s="691"/>
      <c r="QGB266" s="651"/>
      <c r="QGC266" s="691"/>
      <c r="QGD266" s="651"/>
      <c r="QGE266" s="691"/>
      <c r="QGF266" s="651"/>
      <c r="QGG266" s="691"/>
      <c r="QGH266" s="651"/>
      <c r="QGI266" s="691"/>
      <c r="QGJ266" s="651"/>
      <c r="QGK266" s="691"/>
      <c r="QGL266" s="651"/>
      <c r="QGM266" s="691"/>
      <c r="QGN266" s="651"/>
      <c r="QGO266" s="691"/>
      <c r="QGP266" s="651"/>
      <c r="QGQ266" s="691"/>
      <c r="QGR266" s="651"/>
      <c r="QGS266" s="691"/>
      <c r="QGT266" s="651"/>
      <c r="QGU266" s="691"/>
      <c r="QGV266" s="651"/>
      <c r="QGW266" s="691"/>
      <c r="QGX266" s="651"/>
      <c r="QGY266" s="691"/>
      <c r="QGZ266" s="651"/>
      <c r="QHA266" s="691"/>
      <c r="QHB266" s="651"/>
      <c r="QHC266" s="691"/>
      <c r="QHD266" s="651"/>
      <c r="QHE266" s="691"/>
      <c r="QHF266" s="651"/>
      <c r="QHG266" s="691"/>
      <c r="QHH266" s="651"/>
      <c r="QHI266" s="691"/>
      <c r="QHJ266" s="651"/>
      <c r="QHK266" s="691"/>
      <c r="QHL266" s="651"/>
      <c r="QHM266" s="691"/>
      <c r="QHN266" s="651"/>
      <c r="QHO266" s="691"/>
      <c r="QHP266" s="651"/>
      <c r="QHQ266" s="691"/>
      <c r="QHR266" s="651"/>
      <c r="QHS266" s="691"/>
      <c r="QHT266" s="651"/>
      <c r="QHU266" s="691"/>
      <c r="QHV266" s="651"/>
      <c r="QHW266" s="691"/>
      <c r="QHX266" s="651"/>
      <c r="QHY266" s="691"/>
      <c r="QHZ266" s="651"/>
      <c r="QIA266" s="691"/>
      <c r="QIB266" s="651"/>
      <c r="QIC266" s="691"/>
      <c r="QID266" s="651"/>
      <c r="QIE266" s="691"/>
      <c r="QIF266" s="651"/>
      <c r="QIG266" s="691"/>
      <c r="QIH266" s="651"/>
      <c r="QII266" s="691"/>
      <c r="QIJ266" s="651"/>
      <c r="QIK266" s="691"/>
      <c r="QIL266" s="651"/>
      <c r="QIM266" s="691"/>
      <c r="QIN266" s="651"/>
      <c r="QIO266" s="691"/>
      <c r="QIP266" s="651"/>
      <c r="QIQ266" s="691"/>
      <c r="QIR266" s="651"/>
      <c r="QIS266" s="691"/>
      <c r="QIT266" s="651"/>
      <c r="QIU266" s="691"/>
      <c r="QIV266" s="651"/>
      <c r="QIW266" s="691"/>
      <c r="QIX266" s="651"/>
      <c r="QIY266" s="691"/>
      <c r="QIZ266" s="651"/>
      <c r="QJA266" s="691"/>
      <c r="QJB266" s="651"/>
      <c r="QJC266" s="691"/>
      <c r="QJD266" s="651"/>
      <c r="QJE266" s="691"/>
      <c r="QJF266" s="651"/>
      <c r="QJG266" s="691"/>
      <c r="QJH266" s="651"/>
      <c r="QJI266" s="691"/>
      <c r="QJJ266" s="651"/>
      <c r="QJK266" s="691"/>
      <c r="QJL266" s="651"/>
      <c r="QJM266" s="691"/>
      <c r="QJN266" s="651"/>
      <c r="QJO266" s="691"/>
      <c r="QJP266" s="651"/>
      <c r="QJQ266" s="691"/>
      <c r="QJR266" s="651"/>
      <c r="QJS266" s="691"/>
      <c r="QJT266" s="651"/>
      <c r="QJU266" s="691"/>
      <c r="QJV266" s="651"/>
      <c r="QJW266" s="691"/>
      <c r="QJX266" s="651"/>
      <c r="QJY266" s="691"/>
      <c r="QJZ266" s="651"/>
      <c r="QKA266" s="691"/>
      <c r="QKB266" s="651"/>
      <c r="QKC266" s="691"/>
      <c r="QKD266" s="651"/>
      <c r="QKE266" s="691"/>
      <c r="QKF266" s="651"/>
      <c r="QKG266" s="691"/>
      <c r="QKH266" s="651"/>
      <c r="QKI266" s="691"/>
      <c r="QKJ266" s="651"/>
      <c r="QKK266" s="691"/>
      <c r="QKL266" s="651"/>
      <c r="QKM266" s="691"/>
      <c r="QKN266" s="651"/>
      <c r="QKO266" s="691"/>
      <c r="QKP266" s="651"/>
      <c r="QKQ266" s="691"/>
      <c r="QKR266" s="651"/>
      <c r="QKS266" s="691"/>
      <c r="QKT266" s="651"/>
      <c r="QKU266" s="691"/>
      <c r="QKV266" s="651"/>
      <c r="QKW266" s="691"/>
      <c r="QKX266" s="651"/>
      <c r="QKY266" s="691"/>
      <c r="QKZ266" s="651"/>
      <c r="QLA266" s="691"/>
      <c r="QLB266" s="651"/>
      <c r="QLC266" s="691"/>
      <c r="QLD266" s="651"/>
      <c r="QLE266" s="691"/>
      <c r="QLF266" s="651"/>
      <c r="QLG266" s="691"/>
      <c r="QLH266" s="651"/>
      <c r="QLI266" s="691"/>
      <c r="QLJ266" s="651"/>
      <c r="QLK266" s="691"/>
      <c r="QLL266" s="651"/>
      <c r="QLM266" s="691"/>
      <c r="QLN266" s="651"/>
      <c r="QLO266" s="691"/>
      <c r="QLP266" s="651"/>
      <c r="QLQ266" s="691"/>
      <c r="QLR266" s="651"/>
      <c r="QLS266" s="691"/>
      <c r="QLT266" s="651"/>
      <c r="QLU266" s="691"/>
      <c r="QLV266" s="651"/>
      <c r="QLW266" s="691"/>
      <c r="QLX266" s="651"/>
      <c r="QLY266" s="691"/>
      <c r="QLZ266" s="651"/>
      <c r="QMA266" s="691"/>
      <c r="QMB266" s="651"/>
      <c r="QMC266" s="691"/>
      <c r="QMD266" s="651"/>
      <c r="QME266" s="691"/>
      <c r="QMF266" s="651"/>
      <c r="QMG266" s="691"/>
      <c r="QMH266" s="651"/>
      <c r="QMI266" s="691"/>
      <c r="QMJ266" s="651"/>
      <c r="QMK266" s="691"/>
      <c r="QML266" s="651"/>
      <c r="QMM266" s="691"/>
      <c r="QMN266" s="651"/>
      <c r="QMO266" s="691"/>
      <c r="QMP266" s="651"/>
      <c r="QMQ266" s="691"/>
      <c r="QMR266" s="651"/>
      <c r="QMS266" s="691"/>
      <c r="QMT266" s="651"/>
      <c r="QMU266" s="691"/>
      <c r="QMV266" s="651"/>
      <c r="QMW266" s="691"/>
      <c r="QMX266" s="651"/>
      <c r="QMY266" s="691"/>
      <c r="QMZ266" s="651"/>
      <c r="QNA266" s="691"/>
      <c r="QNB266" s="651"/>
      <c r="QNC266" s="691"/>
      <c r="QND266" s="651"/>
      <c r="QNE266" s="691"/>
      <c r="QNF266" s="651"/>
      <c r="QNG266" s="691"/>
      <c r="QNH266" s="651"/>
      <c r="QNI266" s="691"/>
      <c r="QNJ266" s="651"/>
      <c r="QNK266" s="691"/>
      <c r="QNL266" s="651"/>
      <c r="QNM266" s="691"/>
      <c r="QNN266" s="651"/>
      <c r="QNO266" s="691"/>
      <c r="QNP266" s="651"/>
      <c r="QNQ266" s="691"/>
      <c r="QNR266" s="651"/>
      <c r="QNS266" s="691"/>
      <c r="QNT266" s="651"/>
      <c r="QNU266" s="691"/>
      <c r="QNV266" s="651"/>
      <c r="QNW266" s="691"/>
      <c r="QNX266" s="651"/>
      <c r="QNY266" s="691"/>
      <c r="QNZ266" s="651"/>
      <c r="QOA266" s="691"/>
      <c r="QOB266" s="651"/>
      <c r="QOC266" s="691"/>
      <c r="QOD266" s="651"/>
      <c r="QOE266" s="691"/>
      <c r="QOF266" s="651"/>
      <c r="QOG266" s="691"/>
      <c r="QOH266" s="651"/>
      <c r="QOI266" s="691"/>
      <c r="QOJ266" s="651"/>
      <c r="QOK266" s="691"/>
      <c r="QOL266" s="651"/>
      <c r="QOM266" s="691"/>
      <c r="QON266" s="651"/>
      <c r="QOO266" s="691"/>
      <c r="QOP266" s="651"/>
      <c r="QOQ266" s="691"/>
      <c r="QOR266" s="651"/>
      <c r="QOS266" s="691"/>
      <c r="QOT266" s="651"/>
      <c r="QOU266" s="691"/>
      <c r="QOV266" s="651"/>
      <c r="QOW266" s="691"/>
      <c r="QOX266" s="651"/>
      <c r="QOY266" s="691"/>
      <c r="QOZ266" s="651"/>
      <c r="QPA266" s="691"/>
      <c r="QPB266" s="651"/>
      <c r="QPC266" s="691"/>
      <c r="QPD266" s="651"/>
      <c r="QPE266" s="691"/>
      <c r="QPF266" s="651"/>
      <c r="QPG266" s="691"/>
      <c r="QPH266" s="651"/>
      <c r="QPI266" s="691"/>
      <c r="QPJ266" s="651"/>
      <c r="QPK266" s="691"/>
      <c r="QPL266" s="651"/>
      <c r="QPM266" s="691"/>
      <c r="QPN266" s="651"/>
      <c r="QPO266" s="691"/>
      <c r="QPP266" s="651"/>
      <c r="QPQ266" s="691"/>
      <c r="QPR266" s="651"/>
      <c r="QPS266" s="691"/>
      <c r="QPT266" s="651"/>
      <c r="QPU266" s="691"/>
      <c r="QPV266" s="651"/>
      <c r="QPW266" s="691"/>
      <c r="QPX266" s="651"/>
      <c r="QPY266" s="691"/>
      <c r="QPZ266" s="651"/>
      <c r="QQA266" s="691"/>
      <c r="QQB266" s="651"/>
      <c r="QQC266" s="691"/>
      <c r="QQD266" s="651"/>
      <c r="QQE266" s="691"/>
      <c r="QQF266" s="651"/>
      <c r="QQG266" s="691"/>
      <c r="QQH266" s="651"/>
      <c r="QQI266" s="691"/>
      <c r="QQJ266" s="651"/>
      <c r="QQK266" s="691"/>
      <c r="QQL266" s="651"/>
      <c r="QQM266" s="691"/>
      <c r="QQN266" s="651"/>
      <c r="QQO266" s="691"/>
      <c r="QQP266" s="651"/>
      <c r="QQQ266" s="691"/>
      <c r="QQR266" s="651"/>
      <c r="QQS266" s="691"/>
      <c r="QQT266" s="651"/>
      <c r="QQU266" s="691"/>
      <c r="QQV266" s="651"/>
      <c r="QQW266" s="691"/>
      <c r="QQX266" s="651"/>
      <c r="QQY266" s="691"/>
      <c r="QQZ266" s="651"/>
      <c r="QRA266" s="691"/>
      <c r="QRB266" s="651"/>
      <c r="QRC266" s="691"/>
      <c r="QRD266" s="651"/>
      <c r="QRE266" s="691"/>
      <c r="QRF266" s="651"/>
      <c r="QRG266" s="691"/>
      <c r="QRH266" s="651"/>
      <c r="QRI266" s="691"/>
      <c r="QRJ266" s="651"/>
      <c r="QRK266" s="691"/>
      <c r="QRL266" s="651"/>
      <c r="QRM266" s="691"/>
      <c r="QRN266" s="651"/>
      <c r="QRO266" s="691"/>
      <c r="QRP266" s="651"/>
      <c r="QRQ266" s="691"/>
      <c r="QRR266" s="651"/>
      <c r="QRS266" s="691"/>
      <c r="QRT266" s="651"/>
      <c r="QRU266" s="691"/>
      <c r="QRV266" s="651"/>
      <c r="QRW266" s="691"/>
      <c r="QRX266" s="651"/>
      <c r="QRY266" s="691"/>
      <c r="QRZ266" s="651"/>
      <c r="QSA266" s="691"/>
      <c r="QSB266" s="651"/>
      <c r="QSC266" s="691"/>
      <c r="QSD266" s="651"/>
      <c r="QSE266" s="691"/>
      <c r="QSF266" s="651"/>
      <c r="QSG266" s="691"/>
      <c r="QSH266" s="651"/>
      <c r="QSI266" s="691"/>
      <c r="QSJ266" s="651"/>
      <c r="QSK266" s="691"/>
      <c r="QSL266" s="651"/>
      <c r="QSM266" s="691"/>
      <c r="QSN266" s="651"/>
      <c r="QSO266" s="691"/>
      <c r="QSP266" s="651"/>
      <c r="QSQ266" s="691"/>
      <c r="QSR266" s="651"/>
      <c r="QSS266" s="691"/>
      <c r="QST266" s="651"/>
      <c r="QSU266" s="691"/>
      <c r="QSV266" s="651"/>
      <c r="QSW266" s="691"/>
      <c r="QSX266" s="651"/>
      <c r="QSY266" s="691"/>
      <c r="QSZ266" s="651"/>
      <c r="QTA266" s="691"/>
      <c r="QTB266" s="651"/>
      <c r="QTC266" s="691"/>
      <c r="QTD266" s="651"/>
      <c r="QTE266" s="691"/>
      <c r="QTF266" s="651"/>
      <c r="QTG266" s="691"/>
      <c r="QTH266" s="651"/>
      <c r="QTI266" s="691"/>
      <c r="QTJ266" s="651"/>
      <c r="QTK266" s="691"/>
      <c r="QTL266" s="651"/>
      <c r="QTM266" s="691"/>
      <c r="QTN266" s="651"/>
      <c r="QTO266" s="691"/>
      <c r="QTP266" s="651"/>
      <c r="QTQ266" s="691"/>
      <c r="QTR266" s="651"/>
      <c r="QTS266" s="691"/>
      <c r="QTT266" s="651"/>
      <c r="QTU266" s="691"/>
      <c r="QTV266" s="651"/>
      <c r="QTW266" s="691"/>
      <c r="QTX266" s="651"/>
      <c r="QTY266" s="691"/>
      <c r="QTZ266" s="651"/>
      <c r="QUA266" s="691"/>
      <c r="QUB266" s="651"/>
      <c r="QUC266" s="691"/>
      <c r="QUD266" s="651"/>
      <c r="QUE266" s="691"/>
      <c r="QUF266" s="651"/>
      <c r="QUG266" s="691"/>
      <c r="QUH266" s="651"/>
      <c r="QUI266" s="691"/>
      <c r="QUJ266" s="651"/>
      <c r="QUK266" s="691"/>
      <c r="QUL266" s="651"/>
      <c r="QUM266" s="691"/>
      <c r="QUN266" s="651"/>
      <c r="QUO266" s="691"/>
      <c r="QUP266" s="651"/>
      <c r="QUQ266" s="691"/>
      <c r="QUR266" s="651"/>
      <c r="QUS266" s="691"/>
      <c r="QUT266" s="651"/>
      <c r="QUU266" s="691"/>
      <c r="QUV266" s="651"/>
      <c r="QUW266" s="691"/>
      <c r="QUX266" s="651"/>
      <c r="QUY266" s="691"/>
      <c r="QUZ266" s="651"/>
      <c r="QVA266" s="691"/>
      <c r="QVB266" s="651"/>
      <c r="QVC266" s="691"/>
      <c r="QVD266" s="651"/>
      <c r="QVE266" s="691"/>
      <c r="QVF266" s="651"/>
      <c r="QVG266" s="691"/>
      <c r="QVH266" s="651"/>
      <c r="QVI266" s="691"/>
      <c r="QVJ266" s="651"/>
      <c r="QVK266" s="691"/>
      <c r="QVL266" s="651"/>
      <c r="QVM266" s="691"/>
      <c r="QVN266" s="651"/>
      <c r="QVO266" s="691"/>
      <c r="QVP266" s="651"/>
      <c r="QVQ266" s="691"/>
      <c r="QVR266" s="651"/>
      <c r="QVS266" s="691"/>
      <c r="QVT266" s="651"/>
      <c r="QVU266" s="691"/>
      <c r="QVV266" s="651"/>
      <c r="QVW266" s="691"/>
      <c r="QVX266" s="651"/>
      <c r="QVY266" s="691"/>
      <c r="QVZ266" s="651"/>
      <c r="QWA266" s="691"/>
      <c r="QWB266" s="651"/>
      <c r="QWC266" s="691"/>
      <c r="QWD266" s="651"/>
      <c r="QWE266" s="691"/>
      <c r="QWF266" s="651"/>
      <c r="QWG266" s="691"/>
      <c r="QWH266" s="651"/>
      <c r="QWI266" s="691"/>
      <c r="QWJ266" s="651"/>
      <c r="QWK266" s="691"/>
      <c r="QWL266" s="651"/>
      <c r="QWM266" s="691"/>
      <c r="QWN266" s="651"/>
      <c r="QWO266" s="691"/>
      <c r="QWP266" s="651"/>
      <c r="QWQ266" s="691"/>
      <c r="QWR266" s="651"/>
      <c r="QWS266" s="691"/>
      <c r="QWT266" s="651"/>
      <c r="QWU266" s="691"/>
      <c r="QWV266" s="651"/>
      <c r="QWW266" s="691"/>
      <c r="QWX266" s="651"/>
      <c r="QWY266" s="691"/>
      <c r="QWZ266" s="651"/>
      <c r="QXA266" s="691"/>
      <c r="QXB266" s="651"/>
      <c r="QXC266" s="691"/>
      <c r="QXD266" s="651"/>
      <c r="QXE266" s="691"/>
      <c r="QXF266" s="651"/>
      <c r="QXG266" s="691"/>
      <c r="QXH266" s="651"/>
      <c r="QXI266" s="691"/>
      <c r="QXJ266" s="651"/>
      <c r="QXK266" s="691"/>
      <c r="QXL266" s="651"/>
      <c r="QXM266" s="691"/>
      <c r="QXN266" s="651"/>
      <c r="QXO266" s="691"/>
      <c r="QXP266" s="651"/>
      <c r="QXQ266" s="691"/>
      <c r="QXR266" s="651"/>
      <c r="QXS266" s="691"/>
      <c r="QXT266" s="651"/>
      <c r="QXU266" s="691"/>
      <c r="QXV266" s="651"/>
      <c r="QXW266" s="691"/>
      <c r="QXX266" s="651"/>
      <c r="QXY266" s="691"/>
      <c r="QXZ266" s="651"/>
      <c r="QYA266" s="691"/>
      <c r="QYB266" s="651"/>
      <c r="QYC266" s="691"/>
      <c r="QYD266" s="651"/>
      <c r="QYE266" s="691"/>
      <c r="QYF266" s="651"/>
      <c r="QYG266" s="691"/>
      <c r="QYH266" s="651"/>
      <c r="QYI266" s="691"/>
      <c r="QYJ266" s="651"/>
      <c r="QYK266" s="691"/>
      <c r="QYL266" s="651"/>
      <c r="QYM266" s="691"/>
      <c r="QYN266" s="651"/>
      <c r="QYO266" s="691"/>
      <c r="QYP266" s="651"/>
      <c r="QYQ266" s="691"/>
      <c r="QYR266" s="651"/>
      <c r="QYS266" s="691"/>
      <c r="QYT266" s="651"/>
      <c r="QYU266" s="691"/>
      <c r="QYV266" s="651"/>
      <c r="QYW266" s="691"/>
      <c r="QYX266" s="651"/>
      <c r="QYY266" s="691"/>
      <c r="QYZ266" s="651"/>
      <c r="QZA266" s="691"/>
      <c r="QZB266" s="651"/>
      <c r="QZC266" s="691"/>
      <c r="QZD266" s="651"/>
      <c r="QZE266" s="691"/>
      <c r="QZF266" s="651"/>
      <c r="QZG266" s="691"/>
      <c r="QZH266" s="651"/>
      <c r="QZI266" s="691"/>
      <c r="QZJ266" s="651"/>
      <c r="QZK266" s="691"/>
      <c r="QZL266" s="651"/>
      <c r="QZM266" s="691"/>
      <c r="QZN266" s="651"/>
      <c r="QZO266" s="691"/>
      <c r="QZP266" s="651"/>
      <c r="QZQ266" s="691"/>
      <c r="QZR266" s="651"/>
      <c r="QZS266" s="691"/>
      <c r="QZT266" s="651"/>
      <c r="QZU266" s="691"/>
      <c r="QZV266" s="651"/>
      <c r="QZW266" s="691"/>
      <c r="QZX266" s="651"/>
      <c r="QZY266" s="691"/>
      <c r="QZZ266" s="651"/>
      <c r="RAA266" s="691"/>
      <c r="RAB266" s="651"/>
      <c r="RAC266" s="691"/>
      <c r="RAD266" s="651"/>
      <c r="RAE266" s="691"/>
      <c r="RAF266" s="651"/>
      <c r="RAG266" s="691"/>
      <c r="RAH266" s="651"/>
      <c r="RAI266" s="691"/>
      <c r="RAJ266" s="651"/>
      <c r="RAK266" s="691"/>
      <c r="RAL266" s="651"/>
      <c r="RAM266" s="691"/>
      <c r="RAN266" s="651"/>
      <c r="RAO266" s="691"/>
      <c r="RAP266" s="651"/>
      <c r="RAQ266" s="691"/>
      <c r="RAR266" s="651"/>
      <c r="RAS266" s="691"/>
      <c r="RAT266" s="651"/>
      <c r="RAU266" s="691"/>
      <c r="RAV266" s="651"/>
      <c r="RAW266" s="691"/>
      <c r="RAX266" s="651"/>
      <c r="RAY266" s="691"/>
      <c r="RAZ266" s="651"/>
      <c r="RBA266" s="691"/>
      <c r="RBB266" s="651"/>
      <c r="RBC266" s="691"/>
      <c r="RBD266" s="651"/>
      <c r="RBE266" s="691"/>
      <c r="RBF266" s="651"/>
      <c r="RBG266" s="691"/>
      <c r="RBH266" s="651"/>
      <c r="RBI266" s="691"/>
      <c r="RBJ266" s="651"/>
      <c r="RBK266" s="691"/>
      <c r="RBL266" s="651"/>
      <c r="RBM266" s="691"/>
      <c r="RBN266" s="651"/>
      <c r="RBO266" s="691"/>
      <c r="RBP266" s="651"/>
      <c r="RBQ266" s="691"/>
      <c r="RBR266" s="651"/>
      <c r="RBS266" s="691"/>
      <c r="RBT266" s="651"/>
      <c r="RBU266" s="691"/>
      <c r="RBV266" s="651"/>
      <c r="RBW266" s="691"/>
      <c r="RBX266" s="651"/>
      <c r="RBY266" s="691"/>
      <c r="RBZ266" s="651"/>
      <c r="RCA266" s="691"/>
      <c r="RCB266" s="651"/>
      <c r="RCC266" s="691"/>
      <c r="RCD266" s="651"/>
      <c r="RCE266" s="691"/>
      <c r="RCF266" s="651"/>
      <c r="RCG266" s="691"/>
      <c r="RCH266" s="651"/>
      <c r="RCI266" s="691"/>
      <c r="RCJ266" s="651"/>
      <c r="RCK266" s="691"/>
      <c r="RCL266" s="651"/>
      <c r="RCM266" s="691"/>
      <c r="RCN266" s="651"/>
      <c r="RCO266" s="691"/>
      <c r="RCP266" s="651"/>
      <c r="RCQ266" s="691"/>
      <c r="RCR266" s="651"/>
      <c r="RCS266" s="691"/>
      <c r="RCT266" s="651"/>
      <c r="RCU266" s="691"/>
      <c r="RCV266" s="651"/>
      <c r="RCW266" s="691"/>
      <c r="RCX266" s="651"/>
      <c r="RCY266" s="691"/>
      <c r="RCZ266" s="651"/>
      <c r="RDA266" s="691"/>
      <c r="RDB266" s="651"/>
      <c r="RDC266" s="691"/>
      <c r="RDD266" s="651"/>
      <c r="RDE266" s="691"/>
      <c r="RDF266" s="651"/>
      <c r="RDG266" s="691"/>
      <c r="RDH266" s="651"/>
      <c r="RDI266" s="691"/>
      <c r="RDJ266" s="651"/>
      <c r="RDK266" s="691"/>
      <c r="RDL266" s="651"/>
      <c r="RDM266" s="691"/>
      <c r="RDN266" s="651"/>
      <c r="RDO266" s="691"/>
      <c r="RDP266" s="651"/>
      <c r="RDQ266" s="691"/>
      <c r="RDR266" s="651"/>
      <c r="RDS266" s="691"/>
      <c r="RDT266" s="651"/>
      <c r="RDU266" s="691"/>
      <c r="RDV266" s="651"/>
      <c r="RDW266" s="691"/>
      <c r="RDX266" s="651"/>
      <c r="RDY266" s="691"/>
      <c r="RDZ266" s="651"/>
      <c r="REA266" s="691"/>
      <c r="REB266" s="651"/>
      <c r="REC266" s="691"/>
      <c r="RED266" s="651"/>
      <c r="REE266" s="691"/>
      <c r="REF266" s="651"/>
      <c r="REG266" s="691"/>
      <c r="REH266" s="651"/>
      <c r="REI266" s="691"/>
      <c r="REJ266" s="651"/>
      <c r="REK266" s="691"/>
      <c r="REL266" s="651"/>
      <c r="REM266" s="691"/>
      <c r="REN266" s="651"/>
      <c r="REO266" s="691"/>
      <c r="REP266" s="651"/>
      <c r="REQ266" s="691"/>
      <c r="RER266" s="651"/>
      <c r="RES266" s="691"/>
      <c r="RET266" s="651"/>
      <c r="REU266" s="691"/>
      <c r="REV266" s="651"/>
      <c r="REW266" s="691"/>
      <c r="REX266" s="651"/>
      <c r="REY266" s="691"/>
      <c r="REZ266" s="651"/>
      <c r="RFA266" s="691"/>
      <c r="RFB266" s="651"/>
      <c r="RFC266" s="691"/>
      <c r="RFD266" s="651"/>
      <c r="RFE266" s="691"/>
      <c r="RFF266" s="651"/>
      <c r="RFG266" s="691"/>
      <c r="RFH266" s="651"/>
      <c r="RFI266" s="691"/>
      <c r="RFJ266" s="651"/>
      <c r="RFK266" s="691"/>
      <c r="RFL266" s="651"/>
      <c r="RFM266" s="691"/>
      <c r="RFN266" s="651"/>
      <c r="RFO266" s="691"/>
      <c r="RFP266" s="651"/>
      <c r="RFQ266" s="691"/>
      <c r="RFR266" s="651"/>
      <c r="RFS266" s="691"/>
      <c r="RFT266" s="651"/>
      <c r="RFU266" s="691"/>
      <c r="RFV266" s="651"/>
      <c r="RFW266" s="691"/>
      <c r="RFX266" s="651"/>
      <c r="RFY266" s="691"/>
      <c r="RFZ266" s="651"/>
      <c r="RGA266" s="691"/>
      <c r="RGB266" s="651"/>
      <c r="RGC266" s="691"/>
      <c r="RGD266" s="651"/>
      <c r="RGE266" s="691"/>
      <c r="RGF266" s="651"/>
      <c r="RGG266" s="691"/>
      <c r="RGH266" s="651"/>
      <c r="RGI266" s="691"/>
      <c r="RGJ266" s="651"/>
      <c r="RGK266" s="691"/>
      <c r="RGL266" s="651"/>
      <c r="RGM266" s="691"/>
      <c r="RGN266" s="651"/>
      <c r="RGO266" s="691"/>
      <c r="RGP266" s="651"/>
      <c r="RGQ266" s="691"/>
      <c r="RGR266" s="651"/>
      <c r="RGS266" s="691"/>
      <c r="RGT266" s="651"/>
      <c r="RGU266" s="691"/>
      <c r="RGV266" s="651"/>
      <c r="RGW266" s="691"/>
      <c r="RGX266" s="651"/>
      <c r="RGY266" s="691"/>
      <c r="RGZ266" s="651"/>
      <c r="RHA266" s="691"/>
      <c r="RHB266" s="651"/>
      <c r="RHC266" s="691"/>
      <c r="RHD266" s="651"/>
      <c r="RHE266" s="691"/>
      <c r="RHF266" s="651"/>
      <c r="RHG266" s="691"/>
      <c r="RHH266" s="651"/>
      <c r="RHI266" s="691"/>
      <c r="RHJ266" s="651"/>
      <c r="RHK266" s="691"/>
      <c r="RHL266" s="651"/>
      <c r="RHM266" s="691"/>
      <c r="RHN266" s="651"/>
      <c r="RHO266" s="691"/>
      <c r="RHP266" s="651"/>
      <c r="RHQ266" s="691"/>
      <c r="RHR266" s="651"/>
      <c r="RHS266" s="691"/>
      <c r="RHT266" s="651"/>
      <c r="RHU266" s="691"/>
      <c r="RHV266" s="651"/>
      <c r="RHW266" s="691"/>
      <c r="RHX266" s="651"/>
      <c r="RHY266" s="691"/>
      <c r="RHZ266" s="651"/>
      <c r="RIA266" s="691"/>
      <c r="RIB266" s="651"/>
      <c r="RIC266" s="691"/>
      <c r="RID266" s="651"/>
      <c r="RIE266" s="691"/>
      <c r="RIF266" s="651"/>
      <c r="RIG266" s="691"/>
      <c r="RIH266" s="651"/>
      <c r="RII266" s="691"/>
      <c r="RIJ266" s="651"/>
      <c r="RIK266" s="691"/>
      <c r="RIL266" s="651"/>
      <c r="RIM266" s="691"/>
      <c r="RIN266" s="651"/>
      <c r="RIO266" s="691"/>
      <c r="RIP266" s="651"/>
      <c r="RIQ266" s="691"/>
      <c r="RIR266" s="651"/>
      <c r="RIS266" s="691"/>
      <c r="RIT266" s="651"/>
      <c r="RIU266" s="691"/>
      <c r="RIV266" s="651"/>
      <c r="RIW266" s="691"/>
      <c r="RIX266" s="651"/>
      <c r="RIY266" s="691"/>
      <c r="RIZ266" s="651"/>
      <c r="RJA266" s="691"/>
      <c r="RJB266" s="651"/>
      <c r="RJC266" s="691"/>
      <c r="RJD266" s="651"/>
      <c r="RJE266" s="691"/>
      <c r="RJF266" s="651"/>
      <c r="RJG266" s="691"/>
      <c r="RJH266" s="651"/>
      <c r="RJI266" s="691"/>
      <c r="RJJ266" s="651"/>
      <c r="RJK266" s="691"/>
      <c r="RJL266" s="651"/>
      <c r="RJM266" s="691"/>
      <c r="RJN266" s="651"/>
      <c r="RJO266" s="691"/>
      <c r="RJP266" s="651"/>
      <c r="RJQ266" s="691"/>
      <c r="RJR266" s="651"/>
      <c r="RJS266" s="691"/>
      <c r="RJT266" s="651"/>
      <c r="RJU266" s="691"/>
      <c r="RJV266" s="651"/>
      <c r="RJW266" s="691"/>
      <c r="RJX266" s="651"/>
      <c r="RJY266" s="691"/>
      <c r="RJZ266" s="651"/>
      <c r="RKA266" s="691"/>
      <c r="RKB266" s="651"/>
      <c r="RKC266" s="691"/>
      <c r="RKD266" s="651"/>
      <c r="RKE266" s="691"/>
      <c r="RKF266" s="651"/>
      <c r="RKG266" s="691"/>
      <c r="RKH266" s="651"/>
      <c r="RKI266" s="691"/>
      <c r="RKJ266" s="651"/>
      <c r="RKK266" s="691"/>
      <c r="RKL266" s="651"/>
      <c r="RKM266" s="691"/>
      <c r="RKN266" s="651"/>
      <c r="RKO266" s="691"/>
      <c r="RKP266" s="651"/>
      <c r="RKQ266" s="691"/>
      <c r="RKR266" s="651"/>
      <c r="RKS266" s="691"/>
      <c r="RKT266" s="651"/>
      <c r="RKU266" s="691"/>
      <c r="RKV266" s="651"/>
      <c r="RKW266" s="691"/>
      <c r="RKX266" s="651"/>
      <c r="RKY266" s="691"/>
      <c r="RKZ266" s="651"/>
      <c r="RLA266" s="691"/>
      <c r="RLB266" s="651"/>
      <c r="RLC266" s="691"/>
      <c r="RLD266" s="651"/>
      <c r="RLE266" s="691"/>
      <c r="RLF266" s="651"/>
      <c r="RLG266" s="691"/>
      <c r="RLH266" s="651"/>
      <c r="RLI266" s="691"/>
      <c r="RLJ266" s="651"/>
      <c r="RLK266" s="691"/>
      <c r="RLL266" s="651"/>
      <c r="RLM266" s="691"/>
      <c r="RLN266" s="651"/>
      <c r="RLO266" s="691"/>
      <c r="RLP266" s="651"/>
      <c r="RLQ266" s="691"/>
      <c r="RLR266" s="651"/>
      <c r="RLS266" s="691"/>
      <c r="RLT266" s="651"/>
      <c r="RLU266" s="691"/>
      <c r="RLV266" s="651"/>
      <c r="RLW266" s="691"/>
      <c r="RLX266" s="651"/>
      <c r="RLY266" s="691"/>
      <c r="RLZ266" s="651"/>
      <c r="RMA266" s="691"/>
      <c r="RMB266" s="651"/>
      <c r="RMC266" s="691"/>
      <c r="RMD266" s="651"/>
      <c r="RME266" s="691"/>
      <c r="RMF266" s="651"/>
      <c r="RMG266" s="691"/>
      <c r="RMH266" s="651"/>
      <c r="RMI266" s="691"/>
      <c r="RMJ266" s="651"/>
      <c r="RMK266" s="691"/>
      <c r="RML266" s="651"/>
      <c r="RMM266" s="691"/>
      <c r="RMN266" s="651"/>
      <c r="RMO266" s="691"/>
      <c r="RMP266" s="651"/>
      <c r="RMQ266" s="691"/>
      <c r="RMR266" s="651"/>
      <c r="RMS266" s="691"/>
      <c r="RMT266" s="651"/>
      <c r="RMU266" s="691"/>
      <c r="RMV266" s="651"/>
      <c r="RMW266" s="691"/>
      <c r="RMX266" s="651"/>
      <c r="RMY266" s="691"/>
      <c r="RMZ266" s="651"/>
      <c r="RNA266" s="691"/>
      <c r="RNB266" s="651"/>
      <c r="RNC266" s="691"/>
      <c r="RND266" s="651"/>
      <c r="RNE266" s="691"/>
      <c r="RNF266" s="651"/>
      <c r="RNG266" s="691"/>
      <c r="RNH266" s="651"/>
      <c r="RNI266" s="691"/>
      <c r="RNJ266" s="651"/>
      <c r="RNK266" s="691"/>
      <c r="RNL266" s="651"/>
      <c r="RNM266" s="691"/>
      <c r="RNN266" s="651"/>
      <c r="RNO266" s="691"/>
      <c r="RNP266" s="651"/>
      <c r="RNQ266" s="691"/>
      <c r="RNR266" s="651"/>
      <c r="RNS266" s="691"/>
      <c r="RNT266" s="651"/>
      <c r="RNU266" s="691"/>
      <c r="RNV266" s="651"/>
      <c r="RNW266" s="691"/>
      <c r="RNX266" s="651"/>
      <c r="RNY266" s="691"/>
      <c r="RNZ266" s="651"/>
      <c r="ROA266" s="691"/>
      <c r="ROB266" s="651"/>
      <c r="ROC266" s="691"/>
      <c r="ROD266" s="651"/>
      <c r="ROE266" s="691"/>
      <c r="ROF266" s="651"/>
      <c r="ROG266" s="691"/>
      <c r="ROH266" s="651"/>
      <c r="ROI266" s="691"/>
      <c r="ROJ266" s="651"/>
      <c r="ROK266" s="691"/>
      <c r="ROL266" s="651"/>
      <c r="ROM266" s="691"/>
      <c r="RON266" s="651"/>
      <c r="ROO266" s="691"/>
      <c r="ROP266" s="651"/>
      <c r="ROQ266" s="691"/>
      <c r="ROR266" s="651"/>
      <c r="ROS266" s="691"/>
      <c r="ROT266" s="651"/>
      <c r="ROU266" s="691"/>
      <c r="ROV266" s="651"/>
      <c r="ROW266" s="691"/>
      <c r="ROX266" s="651"/>
      <c r="ROY266" s="691"/>
      <c r="ROZ266" s="651"/>
      <c r="RPA266" s="691"/>
      <c r="RPB266" s="651"/>
      <c r="RPC266" s="691"/>
      <c r="RPD266" s="651"/>
      <c r="RPE266" s="691"/>
      <c r="RPF266" s="651"/>
      <c r="RPG266" s="691"/>
      <c r="RPH266" s="651"/>
      <c r="RPI266" s="691"/>
      <c r="RPJ266" s="651"/>
      <c r="RPK266" s="691"/>
      <c r="RPL266" s="651"/>
      <c r="RPM266" s="691"/>
      <c r="RPN266" s="651"/>
      <c r="RPO266" s="691"/>
      <c r="RPP266" s="651"/>
      <c r="RPQ266" s="691"/>
      <c r="RPR266" s="651"/>
      <c r="RPS266" s="691"/>
      <c r="RPT266" s="651"/>
      <c r="RPU266" s="691"/>
      <c r="RPV266" s="651"/>
      <c r="RPW266" s="691"/>
      <c r="RPX266" s="651"/>
      <c r="RPY266" s="691"/>
      <c r="RPZ266" s="651"/>
      <c r="RQA266" s="691"/>
      <c r="RQB266" s="651"/>
      <c r="RQC266" s="691"/>
      <c r="RQD266" s="651"/>
      <c r="RQE266" s="691"/>
      <c r="RQF266" s="651"/>
      <c r="RQG266" s="691"/>
      <c r="RQH266" s="651"/>
      <c r="RQI266" s="691"/>
      <c r="RQJ266" s="651"/>
      <c r="RQK266" s="691"/>
      <c r="RQL266" s="651"/>
      <c r="RQM266" s="691"/>
      <c r="RQN266" s="651"/>
      <c r="RQO266" s="691"/>
      <c r="RQP266" s="651"/>
      <c r="RQQ266" s="691"/>
      <c r="RQR266" s="651"/>
      <c r="RQS266" s="691"/>
      <c r="RQT266" s="651"/>
      <c r="RQU266" s="691"/>
      <c r="RQV266" s="651"/>
      <c r="RQW266" s="691"/>
      <c r="RQX266" s="651"/>
      <c r="RQY266" s="691"/>
      <c r="RQZ266" s="651"/>
      <c r="RRA266" s="691"/>
      <c r="RRB266" s="651"/>
      <c r="RRC266" s="691"/>
      <c r="RRD266" s="651"/>
      <c r="RRE266" s="691"/>
      <c r="RRF266" s="651"/>
      <c r="RRG266" s="691"/>
      <c r="RRH266" s="651"/>
      <c r="RRI266" s="691"/>
      <c r="RRJ266" s="651"/>
      <c r="RRK266" s="691"/>
      <c r="RRL266" s="651"/>
      <c r="RRM266" s="691"/>
      <c r="RRN266" s="651"/>
      <c r="RRO266" s="691"/>
      <c r="RRP266" s="651"/>
      <c r="RRQ266" s="691"/>
      <c r="RRR266" s="651"/>
      <c r="RRS266" s="691"/>
      <c r="RRT266" s="651"/>
      <c r="RRU266" s="691"/>
      <c r="RRV266" s="651"/>
      <c r="RRW266" s="691"/>
      <c r="RRX266" s="651"/>
      <c r="RRY266" s="691"/>
      <c r="RRZ266" s="651"/>
      <c r="RSA266" s="691"/>
      <c r="RSB266" s="651"/>
      <c r="RSC266" s="691"/>
      <c r="RSD266" s="651"/>
      <c r="RSE266" s="691"/>
      <c r="RSF266" s="651"/>
      <c r="RSG266" s="691"/>
      <c r="RSH266" s="651"/>
      <c r="RSI266" s="691"/>
      <c r="RSJ266" s="651"/>
      <c r="RSK266" s="691"/>
      <c r="RSL266" s="651"/>
      <c r="RSM266" s="691"/>
      <c r="RSN266" s="651"/>
      <c r="RSO266" s="691"/>
      <c r="RSP266" s="651"/>
      <c r="RSQ266" s="691"/>
      <c r="RSR266" s="651"/>
      <c r="RSS266" s="691"/>
      <c r="RST266" s="651"/>
      <c r="RSU266" s="691"/>
      <c r="RSV266" s="651"/>
      <c r="RSW266" s="691"/>
      <c r="RSX266" s="651"/>
      <c r="RSY266" s="691"/>
      <c r="RSZ266" s="651"/>
      <c r="RTA266" s="691"/>
      <c r="RTB266" s="651"/>
      <c r="RTC266" s="691"/>
      <c r="RTD266" s="651"/>
      <c r="RTE266" s="691"/>
      <c r="RTF266" s="651"/>
      <c r="RTG266" s="691"/>
      <c r="RTH266" s="651"/>
      <c r="RTI266" s="691"/>
      <c r="RTJ266" s="651"/>
      <c r="RTK266" s="691"/>
      <c r="RTL266" s="651"/>
      <c r="RTM266" s="691"/>
      <c r="RTN266" s="651"/>
      <c r="RTO266" s="691"/>
      <c r="RTP266" s="651"/>
      <c r="RTQ266" s="691"/>
      <c r="RTR266" s="651"/>
      <c r="RTS266" s="691"/>
      <c r="RTT266" s="651"/>
      <c r="RTU266" s="691"/>
      <c r="RTV266" s="651"/>
      <c r="RTW266" s="691"/>
      <c r="RTX266" s="651"/>
      <c r="RTY266" s="691"/>
      <c r="RTZ266" s="651"/>
      <c r="RUA266" s="691"/>
      <c r="RUB266" s="651"/>
      <c r="RUC266" s="691"/>
      <c r="RUD266" s="651"/>
      <c r="RUE266" s="691"/>
      <c r="RUF266" s="651"/>
      <c r="RUG266" s="691"/>
      <c r="RUH266" s="651"/>
      <c r="RUI266" s="691"/>
      <c r="RUJ266" s="651"/>
      <c r="RUK266" s="691"/>
      <c r="RUL266" s="651"/>
      <c r="RUM266" s="691"/>
      <c r="RUN266" s="651"/>
      <c r="RUO266" s="691"/>
      <c r="RUP266" s="651"/>
      <c r="RUQ266" s="691"/>
      <c r="RUR266" s="651"/>
      <c r="RUS266" s="691"/>
      <c r="RUT266" s="651"/>
      <c r="RUU266" s="691"/>
      <c r="RUV266" s="651"/>
      <c r="RUW266" s="691"/>
      <c r="RUX266" s="651"/>
      <c r="RUY266" s="691"/>
      <c r="RUZ266" s="651"/>
      <c r="RVA266" s="691"/>
      <c r="RVB266" s="651"/>
      <c r="RVC266" s="691"/>
      <c r="RVD266" s="651"/>
      <c r="RVE266" s="691"/>
      <c r="RVF266" s="651"/>
      <c r="RVG266" s="691"/>
      <c r="RVH266" s="651"/>
      <c r="RVI266" s="691"/>
      <c r="RVJ266" s="651"/>
      <c r="RVK266" s="691"/>
      <c r="RVL266" s="651"/>
      <c r="RVM266" s="691"/>
      <c r="RVN266" s="651"/>
      <c r="RVO266" s="691"/>
      <c r="RVP266" s="651"/>
      <c r="RVQ266" s="691"/>
      <c r="RVR266" s="651"/>
      <c r="RVS266" s="691"/>
      <c r="RVT266" s="651"/>
      <c r="RVU266" s="691"/>
      <c r="RVV266" s="651"/>
      <c r="RVW266" s="691"/>
      <c r="RVX266" s="651"/>
      <c r="RVY266" s="691"/>
      <c r="RVZ266" s="651"/>
      <c r="RWA266" s="691"/>
      <c r="RWB266" s="651"/>
      <c r="RWC266" s="691"/>
      <c r="RWD266" s="651"/>
      <c r="RWE266" s="691"/>
      <c r="RWF266" s="651"/>
      <c r="RWG266" s="691"/>
      <c r="RWH266" s="651"/>
      <c r="RWI266" s="691"/>
      <c r="RWJ266" s="651"/>
      <c r="RWK266" s="691"/>
      <c r="RWL266" s="651"/>
      <c r="RWM266" s="691"/>
      <c r="RWN266" s="651"/>
      <c r="RWO266" s="691"/>
      <c r="RWP266" s="651"/>
      <c r="RWQ266" s="691"/>
      <c r="RWR266" s="651"/>
      <c r="RWS266" s="691"/>
      <c r="RWT266" s="651"/>
      <c r="RWU266" s="691"/>
      <c r="RWV266" s="651"/>
      <c r="RWW266" s="691"/>
      <c r="RWX266" s="651"/>
      <c r="RWY266" s="691"/>
      <c r="RWZ266" s="651"/>
      <c r="RXA266" s="691"/>
      <c r="RXB266" s="651"/>
      <c r="RXC266" s="691"/>
      <c r="RXD266" s="651"/>
      <c r="RXE266" s="691"/>
      <c r="RXF266" s="651"/>
      <c r="RXG266" s="691"/>
      <c r="RXH266" s="651"/>
      <c r="RXI266" s="691"/>
      <c r="RXJ266" s="651"/>
      <c r="RXK266" s="691"/>
      <c r="RXL266" s="651"/>
      <c r="RXM266" s="691"/>
      <c r="RXN266" s="651"/>
      <c r="RXO266" s="691"/>
      <c r="RXP266" s="651"/>
      <c r="RXQ266" s="691"/>
      <c r="RXR266" s="651"/>
      <c r="RXS266" s="691"/>
      <c r="RXT266" s="651"/>
      <c r="RXU266" s="691"/>
      <c r="RXV266" s="651"/>
      <c r="RXW266" s="691"/>
      <c r="RXX266" s="651"/>
      <c r="RXY266" s="691"/>
      <c r="RXZ266" s="651"/>
      <c r="RYA266" s="691"/>
      <c r="RYB266" s="651"/>
      <c r="RYC266" s="691"/>
      <c r="RYD266" s="651"/>
      <c r="RYE266" s="691"/>
      <c r="RYF266" s="651"/>
      <c r="RYG266" s="691"/>
      <c r="RYH266" s="651"/>
      <c r="RYI266" s="691"/>
      <c r="RYJ266" s="651"/>
      <c r="RYK266" s="691"/>
      <c r="RYL266" s="651"/>
      <c r="RYM266" s="691"/>
      <c r="RYN266" s="651"/>
      <c r="RYO266" s="691"/>
      <c r="RYP266" s="651"/>
      <c r="RYQ266" s="691"/>
      <c r="RYR266" s="651"/>
      <c r="RYS266" s="691"/>
      <c r="RYT266" s="651"/>
      <c r="RYU266" s="691"/>
      <c r="RYV266" s="651"/>
      <c r="RYW266" s="691"/>
      <c r="RYX266" s="651"/>
      <c r="RYY266" s="691"/>
      <c r="RYZ266" s="651"/>
      <c r="RZA266" s="691"/>
      <c r="RZB266" s="651"/>
      <c r="RZC266" s="691"/>
      <c r="RZD266" s="651"/>
      <c r="RZE266" s="691"/>
      <c r="RZF266" s="651"/>
      <c r="RZG266" s="691"/>
      <c r="RZH266" s="651"/>
      <c r="RZI266" s="691"/>
      <c r="RZJ266" s="651"/>
      <c r="RZK266" s="691"/>
      <c r="RZL266" s="651"/>
      <c r="RZM266" s="691"/>
      <c r="RZN266" s="651"/>
      <c r="RZO266" s="691"/>
      <c r="RZP266" s="651"/>
      <c r="RZQ266" s="691"/>
      <c r="RZR266" s="651"/>
      <c r="RZS266" s="691"/>
      <c r="RZT266" s="651"/>
      <c r="RZU266" s="691"/>
      <c r="RZV266" s="651"/>
      <c r="RZW266" s="691"/>
      <c r="RZX266" s="651"/>
      <c r="RZY266" s="691"/>
      <c r="RZZ266" s="651"/>
      <c r="SAA266" s="691"/>
      <c r="SAB266" s="651"/>
      <c r="SAC266" s="691"/>
      <c r="SAD266" s="651"/>
      <c r="SAE266" s="691"/>
      <c r="SAF266" s="651"/>
      <c r="SAG266" s="691"/>
      <c r="SAH266" s="651"/>
      <c r="SAI266" s="691"/>
      <c r="SAJ266" s="651"/>
      <c r="SAK266" s="691"/>
      <c r="SAL266" s="651"/>
      <c r="SAM266" s="691"/>
      <c r="SAN266" s="651"/>
      <c r="SAO266" s="691"/>
      <c r="SAP266" s="651"/>
      <c r="SAQ266" s="691"/>
      <c r="SAR266" s="651"/>
      <c r="SAS266" s="691"/>
      <c r="SAT266" s="651"/>
      <c r="SAU266" s="691"/>
      <c r="SAV266" s="651"/>
      <c r="SAW266" s="691"/>
      <c r="SAX266" s="651"/>
      <c r="SAY266" s="691"/>
      <c r="SAZ266" s="651"/>
      <c r="SBA266" s="691"/>
      <c r="SBB266" s="651"/>
      <c r="SBC266" s="691"/>
      <c r="SBD266" s="651"/>
      <c r="SBE266" s="691"/>
      <c r="SBF266" s="651"/>
      <c r="SBG266" s="691"/>
      <c r="SBH266" s="651"/>
      <c r="SBI266" s="691"/>
      <c r="SBJ266" s="651"/>
      <c r="SBK266" s="691"/>
      <c r="SBL266" s="651"/>
      <c r="SBM266" s="691"/>
      <c r="SBN266" s="651"/>
      <c r="SBO266" s="691"/>
      <c r="SBP266" s="651"/>
      <c r="SBQ266" s="691"/>
      <c r="SBR266" s="651"/>
      <c r="SBS266" s="691"/>
      <c r="SBT266" s="651"/>
      <c r="SBU266" s="691"/>
      <c r="SBV266" s="651"/>
      <c r="SBW266" s="691"/>
      <c r="SBX266" s="651"/>
      <c r="SBY266" s="691"/>
      <c r="SBZ266" s="651"/>
      <c r="SCA266" s="691"/>
      <c r="SCB266" s="651"/>
      <c r="SCC266" s="691"/>
      <c r="SCD266" s="651"/>
      <c r="SCE266" s="691"/>
      <c r="SCF266" s="651"/>
      <c r="SCG266" s="691"/>
      <c r="SCH266" s="651"/>
      <c r="SCI266" s="691"/>
      <c r="SCJ266" s="651"/>
      <c r="SCK266" s="691"/>
      <c r="SCL266" s="651"/>
      <c r="SCM266" s="691"/>
      <c r="SCN266" s="651"/>
      <c r="SCO266" s="691"/>
      <c r="SCP266" s="651"/>
      <c r="SCQ266" s="691"/>
      <c r="SCR266" s="651"/>
      <c r="SCS266" s="691"/>
      <c r="SCT266" s="651"/>
      <c r="SCU266" s="691"/>
      <c r="SCV266" s="651"/>
      <c r="SCW266" s="691"/>
      <c r="SCX266" s="651"/>
      <c r="SCY266" s="691"/>
      <c r="SCZ266" s="651"/>
      <c r="SDA266" s="691"/>
      <c r="SDB266" s="651"/>
      <c r="SDC266" s="691"/>
      <c r="SDD266" s="651"/>
      <c r="SDE266" s="691"/>
      <c r="SDF266" s="651"/>
      <c r="SDG266" s="691"/>
      <c r="SDH266" s="651"/>
      <c r="SDI266" s="691"/>
      <c r="SDJ266" s="651"/>
      <c r="SDK266" s="691"/>
      <c r="SDL266" s="651"/>
      <c r="SDM266" s="691"/>
      <c r="SDN266" s="651"/>
      <c r="SDO266" s="691"/>
      <c r="SDP266" s="651"/>
      <c r="SDQ266" s="691"/>
      <c r="SDR266" s="651"/>
      <c r="SDS266" s="691"/>
      <c r="SDT266" s="651"/>
      <c r="SDU266" s="691"/>
      <c r="SDV266" s="651"/>
      <c r="SDW266" s="691"/>
      <c r="SDX266" s="651"/>
      <c r="SDY266" s="691"/>
      <c r="SDZ266" s="651"/>
      <c r="SEA266" s="691"/>
      <c r="SEB266" s="651"/>
      <c r="SEC266" s="691"/>
      <c r="SED266" s="651"/>
      <c r="SEE266" s="691"/>
      <c r="SEF266" s="651"/>
      <c r="SEG266" s="691"/>
      <c r="SEH266" s="651"/>
      <c r="SEI266" s="691"/>
      <c r="SEJ266" s="651"/>
      <c r="SEK266" s="691"/>
      <c r="SEL266" s="651"/>
      <c r="SEM266" s="691"/>
      <c r="SEN266" s="651"/>
      <c r="SEO266" s="691"/>
      <c r="SEP266" s="651"/>
      <c r="SEQ266" s="691"/>
      <c r="SER266" s="651"/>
      <c r="SES266" s="691"/>
      <c r="SET266" s="651"/>
      <c r="SEU266" s="691"/>
      <c r="SEV266" s="651"/>
      <c r="SEW266" s="691"/>
      <c r="SEX266" s="651"/>
      <c r="SEY266" s="691"/>
      <c r="SEZ266" s="651"/>
      <c r="SFA266" s="691"/>
      <c r="SFB266" s="651"/>
      <c r="SFC266" s="691"/>
      <c r="SFD266" s="651"/>
      <c r="SFE266" s="691"/>
      <c r="SFF266" s="651"/>
      <c r="SFG266" s="691"/>
      <c r="SFH266" s="651"/>
      <c r="SFI266" s="691"/>
      <c r="SFJ266" s="651"/>
      <c r="SFK266" s="691"/>
      <c r="SFL266" s="651"/>
      <c r="SFM266" s="691"/>
      <c r="SFN266" s="651"/>
      <c r="SFO266" s="691"/>
      <c r="SFP266" s="651"/>
      <c r="SFQ266" s="691"/>
      <c r="SFR266" s="651"/>
      <c r="SFS266" s="691"/>
      <c r="SFT266" s="651"/>
      <c r="SFU266" s="691"/>
      <c r="SFV266" s="651"/>
      <c r="SFW266" s="691"/>
      <c r="SFX266" s="651"/>
      <c r="SFY266" s="691"/>
      <c r="SFZ266" s="651"/>
      <c r="SGA266" s="691"/>
      <c r="SGB266" s="651"/>
      <c r="SGC266" s="691"/>
      <c r="SGD266" s="651"/>
      <c r="SGE266" s="691"/>
      <c r="SGF266" s="651"/>
      <c r="SGG266" s="691"/>
      <c r="SGH266" s="651"/>
      <c r="SGI266" s="691"/>
      <c r="SGJ266" s="651"/>
      <c r="SGK266" s="691"/>
      <c r="SGL266" s="651"/>
      <c r="SGM266" s="691"/>
      <c r="SGN266" s="651"/>
      <c r="SGO266" s="691"/>
      <c r="SGP266" s="651"/>
      <c r="SGQ266" s="691"/>
      <c r="SGR266" s="651"/>
      <c r="SGS266" s="691"/>
      <c r="SGT266" s="651"/>
      <c r="SGU266" s="691"/>
      <c r="SGV266" s="651"/>
      <c r="SGW266" s="691"/>
      <c r="SGX266" s="651"/>
      <c r="SGY266" s="691"/>
      <c r="SGZ266" s="651"/>
      <c r="SHA266" s="691"/>
      <c r="SHB266" s="651"/>
      <c r="SHC266" s="691"/>
      <c r="SHD266" s="651"/>
      <c r="SHE266" s="691"/>
      <c r="SHF266" s="651"/>
      <c r="SHG266" s="691"/>
      <c r="SHH266" s="651"/>
      <c r="SHI266" s="691"/>
      <c r="SHJ266" s="651"/>
      <c r="SHK266" s="691"/>
      <c r="SHL266" s="651"/>
      <c r="SHM266" s="691"/>
      <c r="SHN266" s="651"/>
      <c r="SHO266" s="691"/>
      <c r="SHP266" s="651"/>
      <c r="SHQ266" s="691"/>
      <c r="SHR266" s="651"/>
      <c r="SHS266" s="691"/>
      <c r="SHT266" s="651"/>
      <c r="SHU266" s="691"/>
      <c r="SHV266" s="651"/>
      <c r="SHW266" s="691"/>
      <c r="SHX266" s="651"/>
      <c r="SHY266" s="691"/>
      <c r="SHZ266" s="651"/>
      <c r="SIA266" s="691"/>
      <c r="SIB266" s="651"/>
      <c r="SIC266" s="691"/>
      <c r="SID266" s="651"/>
      <c r="SIE266" s="691"/>
      <c r="SIF266" s="651"/>
      <c r="SIG266" s="691"/>
      <c r="SIH266" s="651"/>
      <c r="SII266" s="691"/>
      <c r="SIJ266" s="651"/>
      <c r="SIK266" s="691"/>
      <c r="SIL266" s="651"/>
      <c r="SIM266" s="691"/>
      <c r="SIN266" s="651"/>
      <c r="SIO266" s="691"/>
      <c r="SIP266" s="651"/>
      <c r="SIQ266" s="691"/>
      <c r="SIR266" s="651"/>
      <c r="SIS266" s="691"/>
      <c r="SIT266" s="651"/>
      <c r="SIU266" s="691"/>
      <c r="SIV266" s="651"/>
      <c r="SIW266" s="691"/>
      <c r="SIX266" s="651"/>
      <c r="SIY266" s="691"/>
      <c r="SIZ266" s="651"/>
      <c r="SJA266" s="691"/>
      <c r="SJB266" s="651"/>
      <c r="SJC266" s="691"/>
      <c r="SJD266" s="651"/>
      <c r="SJE266" s="691"/>
      <c r="SJF266" s="651"/>
      <c r="SJG266" s="691"/>
      <c r="SJH266" s="651"/>
      <c r="SJI266" s="691"/>
      <c r="SJJ266" s="651"/>
      <c r="SJK266" s="691"/>
      <c r="SJL266" s="651"/>
      <c r="SJM266" s="691"/>
      <c r="SJN266" s="651"/>
      <c r="SJO266" s="691"/>
      <c r="SJP266" s="651"/>
      <c r="SJQ266" s="691"/>
      <c r="SJR266" s="651"/>
      <c r="SJS266" s="691"/>
      <c r="SJT266" s="651"/>
      <c r="SJU266" s="691"/>
      <c r="SJV266" s="651"/>
      <c r="SJW266" s="691"/>
      <c r="SJX266" s="651"/>
      <c r="SJY266" s="691"/>
      <c r="SJZ266" s="651"/>
      <c r="SKA266" s="691"/>
      <c r="SKB266" s="651"/>
      <c r="SKC266" s="691"/>
      <c r="SKD266" s="651"/>
      <c r="SKE266" s="691"/>
      <c r="SKF266" s="651"/>
      <c r="SKG266" s="691"/>
      <c r="SKH266" s="651"/>
      <c r="SKI266" s="691"/>
      <c r="SKJ266" s="651"/>
      <c r="SKK266" s="691"/>
      <c r="SKL266" s="651"/>
      <c r="SKM266" s="691"/>
      <c r="SKN266" s="651"/>
      <c r="SKO266" s="691"/>
      <c r="SKP266" s="651"/>
      <c r="SKQ266" s="691"/>
      <c r="SKR266" s="651"/>
      <c r="SKS266" s="691"/>
      <c r="SKT266" s="651"/>
      <c r="SKU266" s="691"/>
      <c r="SKV266" s="651"/>
      <c r="SKW266" s="691"/>
      <c r="SKX266" s="651"/>
      <c r="SKY266" s="691"/>
      <c r="SKZ266" s="651"/>
      <c r="SLA266" s="691"/>
      <c r="SLB266" s="651"/>
      <c r="SLC266" s="691"/>
      <c r="SLD266" s="651"/>
      <c r="SLE266" s="691"/>
      <c r="SLF266" s="651"/>
      <c r="SLG266" s="691"/>
      <c r="SLH266" s="651"/>
      <c r="SLI266" s="691"/>
      <c r="SLJ266" s="651"/>
      <c r="SLK266" s="691"/>
      <c r="SLL266" s="651"/>
      <c r="SLM266" s="691"/>
      <c r="SLN266" s="651"/>
      <c r="SLO266" s="691"/>
      <c r="SLP266" s="651"/>
      <c r="SLQ266" s="691"/>
      <c r="SLR266" s="651"/>
      <c r="SLS266" s="691"/>
      <c r="SLT266" s="651"/>
      <c r="SLU266" s="691"/>
      <c r="SLV266" s="651"/>
      <c r="SLW266" s="691"/>
      <c r="SLX266" s="651"/>
      <c r="SLY266" s="691"/>
      <c r="SLZ266" s="651"/>
      <c r="SMA266" s="691"/>
      <c r="SMB266" s="651"/>
      <c r="SMC266" s="691"/>
      <c r="SMD266" s="651"/>
      <c r="SME266" s="691"/>
      <c r="SMF266" s="651"/>
      <c r="SMG266" s="691"/>
      <c r="SMH266" s="651"/>
      <c r="SMI266" s="691"/>
      <c r="SMJ266" s="651"/>
      <c r="SMK266" s="691"/>
      <c r="SML266" s="651"/>
      <c r="SMM266" s="691"/>
      <c r="SMN266" s="651"/>
      <c r="SMO266" s="691"/>
      <c r="SMP266" s="651"/>
      <c r="SMQ266" s="691"/>
      <c r="SMR266" s="651"/>
      <c r="SMS266" s="691"/>
      <c r="SMT266" s="651"/>
      <c r="SMU266" s="691"/>
      <c r="SMV266" s="651"/>
      <c r="SMW266" s="691"/>
      <c r="SMX266" s="651"/>
      <c r="SMY266" s="691"/>
      <c r="SMZ266" s="651"/>
      <c r="SNA266" s="691"/>
      <c r="SNB266" s="651"/>
      <c r="SNC266" s="691"/>
      <c r="SND266" s="651"/>
      <c r="SNE266" s="691"/>
      <c r="SNF266" s="651"/>
      <c r="SNG266" s="691"/>
      <c r="SNH266" s="651"/>
      <c r="SNI266" s="691"/>
      <c r="SNJ266" s="651"/>
      <c r="SNK266" s="691"/>
      <c r="SNL266" s="651"/>
      <c r="SNM266" s="691"/>
      <c r="SNN266" s="651"/>
      <c r="SNO266" s="691"/>
      <c r="SNP266" s="651"/>
      <c r="SNQ266" s="691"/>
      <c r="SNR266" s="651"/>
      <c r="SNS266" s="691"/>
      <c r="SNT266" s="651"/>
      <c r="SNU266" s="691"/>
      <c r="SNV266" s="651"/>
      <c r="SNW266" s="691"/>
      <c r="SNX266" s="651"/>
      <c r="SNY266" s="691"/>
      <c r="SNZ266" s="651"/>
      <c r="SOA266" s="691"/>
      <c r="SOB266" s="651"/>
      <c r="SOC266" s="691"/>
      <c r="SOD266" s="651"/>
      <c r="SOE266" s="691"/>
      <c r="SOF266" s="651"/>
      <c r="SOG266" s="691"/>
      <c r="SOH266" s="651"/>
      <c r="SOI266" s="691"/>
      <c r="SOJ266" s="651"/>
      <c r="SOK266" s="691"/>
      <c r="SOL266" s="651"/>
      <c r="SOM266" s="691"/>
      <c r="SON266" s="651"/>
      <c r="SOO266" s="691"/>
      <c r="SOP266" s="651"/>
      <c r="SOQ266" s="691"/>
      <c r="SOR266" s="651"/>
      <c r="SOS266" s="691"/>
      <c r="SOT266" s="651"/>
      <c r="SOU266" s="691"/>
      <c r="SOV266" s="651"/>
      <c r="SOW266" s="691"/>
      <c r="SOX266" s="651"/>
      <c r="SOY266" s="691"/>
      <c r="SOZ266" s="651"/>
      <c r="SPA266" s="691"/>
      <c r="SPB266" s="651"/>
      <c r="SPC266" s="691"/>
      <c r="SPD266" s="651"/>
      <c r="SPE266" s="691"/>
      <c r="SPF266" s="651"/>
      <c r="SPG266" s="691"/>
      <c r="SPH266" s="651"/>
      <c r="SPI266" s="691"/>
      <c r="SPJ266" s="651"/>
      <c r="SPK266" s="691"/>
      <c r="SPL266" s="651"/>
      <c r="SPM266" s="691"/>
      <c r="SPN266" s="651"/>
      <c r="SPO266" s="691"/>
      <c r="SPP266" s="651"/>
      <c r="SPQ266" s="691"/>
      <c r="SPR266" s="651"/>
      <c r="SPS266" s="691"/>
      <c r="SPT266" s="651"/>
      <c r="SPU266" s="691"/>
      <c r="SPV266" s="651"/>
      <c r="SPW266" s="691"/>
      <c r="SPX266" s="651"/>
      <c r="SPY266" s="691"/>
      <c r="SPZ266" s="651"/>
      <c r="SQA266" s="691"/>
      <c r="SQB266" s="651"/>
      <c r="SQC266" s="691"/>
      <c r="SQD266" s="651"/>
      <c r="SQE266" s="691"/>
      <c r="SQF266" s="651"/>
      <c r="SQG266" s="691"/>
      <c r="SQH266" s="651"/>
      <c r="SQI266" s="691"/>
      <c r="SQJ266" s="651"/>
      <c r="SQK266" s="691"/>
      <c r="SQL266" s="651"/>
      <c r="SQM266" s="691"/>
      <c r="SQN266" s="651"/>
      <c r="SQO266" s="691"/>
      <c r="SQP266" s="651"/>
      <c r="SQQ266" s="691"/>
      <c r="SQR266" s="651"/>
      <c r="SQS266" s="691"/>
      <c r="SQT266" s="651"/>
      <c r="SQU266" s="691"/>
      <c r="SQV266" s="651"/>
      <c r="SQW266" s="691"/>
      <c r="SQX266" s="651"/>
      <c r="SQY266" s="691"/>
      <c r="SQZ266" s="651"/>
      <c r="SRA266" s="691"/>
      <c r="SRB266" s="651"/>
      <c r="SRC266" s="691"/>
      <c r="SRD266" s="651"/>
      <c r="SRE266" s="691"/>
      <c r="SRF266" s="651"/>
      <c r="SRG266" s="691"/>
      <c r="SRH266" s="651"/>
      <c r="SRI266" s="691"/>
      <c r="SRJ266" s="651"/>
      <c r="SRK266" s="691"/>
      <c r="SRL266" s="651"/>
      <c r="SRM266" s="691"/>
      <c r="SRN266" s="651"/>
      <c r="SRO266" s="691"/>
      <c r="SRP266" s="651"/>
      <c r="SRQ266" s="691"/>
      <c r="SRR266" s="651"/>
      <c r="SRS266" s="691"/>
      <c r="SRT266" s="651"/>
      <c r="SRU266" s="691"/>
      <c r="SRV266" s="651"/>
      <c r="SRW266" s="691"/>
      <c r="SRX266" s="651"/>
      <c r="SRY266" s="691"/>
      <c r="SRZ266" s="651"/>
      <c r="SSA266" s="691"/>
      <c r="SSB266" s="651"/>
      <c r="SSC266" s="691"/>
      <c r="SSD266" s="651"/>
      <c r="SSE266" s="691"/>
      <c r="SSF266" s="651"/>
      <c r="SSG266" s="691"/>
      <c r="SSH266" s="651"/>
      <c r="SSI266" s="691"/>
      <c r="SSJ266" s="651"/>
      <c r="SSK266" s="691"/>
      <c r="SSL266" s="651"/>
      <c r="SSM266" s="691"/>
      <c r="SSN266" s="651"/>
      <c r="SSO266" s="691"/>
      <c r="SSP266" s="651"/>
      <c r="SSQ266" s="691"/>
      <c r="SSR266" s="651"/>
      <c r="SSS266" s="691"/>
      <c r="SST266" s="651"/>
      <c r="SSU266" s="691"/>
      <c r="SSV266" s="651"/>
      <c r="SSW266" s="691"/>
      <c r="SSX266" s="651"/>
      <c r="SSY266" s="691"/>
      <c r="SSZ266" s="651"/>
      <c r="STA266" s="691"/>
      <c r="STB266" s="651"/>
      <c r="STC266" s="691"/>
      <c r="STD266" s="651"/>
      <c r="STE266" s="691"/>
      <c r="STF266" s="651"/>
      <c r="STG266" s="691"/>
      <c r="STH266" s="651"/>
      <c r="STI266" s="691"/>
      <c r="STJ266" s="651"/>
      <c r="STK266" s="691"/>
      <c r="STL266" s="651"/>
      <c r="STM266" s="691"/>
      <c r="STN266" s="651"/>
      <c r="STO266" s="691"/>
      <c r="STP266" s="651"/>
      <c r="STQ266" s="691"/>
      <c r="STR266" s="651"/>
      <c r="STS266" s="691"/>
      <c r="STT266" s="651"/>
      <c r="STU266" s="691"/>
      <c r="STV266" s="651"/>
      <c r="STW266" s="691"/>
      <c r="STX266" s="651"/>
      <c r="STY266" s="691"/>
      <c r="STZ266" s="651"/>
      <c r="SUA266" s="691"/>
      <c r="SUB266" s="651"/>
      <c r="SUC266" s="691"/>
      <c r="SUD266" s="651"/>
      <c r="SUE266" s="691"/>
      <c r="SUF266" s="651"/>
      <c r="SUG266" s="691"/>
      <c r="SUH266" s="651"/>
      <c r="SUI266" s="691"/>
      <c r="SUJ266" s="651"/>
      <c r="SUK266" s="691"/>
      <c r="SUL266" s="651"/>
      <c r="SUM266" s="691"/>
      <c r="SUN266" s="651"/>
      <c r="SUO266" s="691"/>
      <c r="SUP266" s="651"/>
      <c r="SUQ266" s="691"/>
      <c r="SUR266" s="651"/>
      <c r="SUS266" s="691"/>
      <c r="SUT266" s="651"/>
      <c r="SUU266" s="691"/>
      <c r="SUV266" s="651"/>
      <c r="SUW266" s="691"/>
      <c r="SUX266" s="651"/>
      <c r="SUY266" s="691"/>
      <c r="SUZ266" s="651"/>
      <c r="SVA266" s="691"/>
      <c r="SVB266" s="651"/>
      <c r="SVC266" s="691"/>
      <c r="SVD266" s="651"/>
      <c r="SVE266" s="691"/>
      <c r="SVF266" s="651"/>
      <c r="SVG266" s="691"/>
      <c r="SVH266" s="651"/>
      <c r="SVI266" s="691"/>
      <c r="SVJ266" s="651"/>
      <c r="SVK266" s="691"/>
      <c r="SVL266" s="651"/>
      <c r="SVM266" s="691"/>
      <c r="SVN266" s="651"/>
      <c r="SVO266" s="691"/>
      <c r="SVP266" s="651"/>
      <c r="SVQ266" s="691"/>
      <c r="SVR266" s="651"/>
      <c r="SVS266" s="691"/>
      <c r="SVT266" s="651"/>
      <c r="SVU266" s="691"/>
      <c r="SVV266" s="651"/>
      <c r="SVW266" s="691"/>
      <c r="SVX266" s="651"/>
      <c r="SVY266" s="691"/>
      <c r="SVZ266" s="651"/>
      <c r="SWA266" s="691"/>
      <c r="SWB266" s="651"/>
      <c r="SWC266" s="691"/>
      <c r="SWD266" s="651"/>
      <c r="SWE266" s="691"/>
      <c r="SWF266" s="651"/>
      <c r="SWG266" s="691"/>
      <c r="SWH266" s="651"/>
      <c r="SWI266" s="691"/>
      <c r="SWJ266" s="651"/>
      <c r="SWK266" s="691"/>
      <c r="SWL266" s="651"/>
      <c r="SWM266" s="691"/>
      <c r="SWN266" s="651"/>
      <c r="SWO266" s="691"/>
      <c r="SWP266" s="651"/>
      <c r="SWQ266" s="691"/>
      <c r="SWR266" s="651"/>
      <c r="SWS266" s="691"/>
      <c r="SWT266" s="651"/>
      <c r="SWU266" s="691"/>
      <c r="SWV266" s="651"/>
      <c r="SWW266" s="691"/>
      <c r="SWX266" s="651"/>
      <c r="SWY266" s="691"/>
      <c r="SWZ266" s="651"/>
      <c r="SXA266" s="691"/>
      <c r="SXB266" s="651"/>
      <c r="SXC266" s="691"/>
      <c r="SXD266" s="651"/>
      <c r="SXE266" s="691"/>
      <c r="SXF266" s="651"/>
      <c r="SXG266" s="691"/>
      <c r="SXH266" s="651"/>
      <c r="SXI266" s="691"/>
      <c r="SXJ266" s="651"/>
      <c r="SXK266" s="691"/>
      <c r="SXL266" s="651"/>
      <c r="SXM266" s="691"/>
      <c r="SXN266" s="651"/>
      <c r="SXO266" s="691"/>
      <c r="SXP266" s="651"/>
      <c r="SXQ266" s="691"/>
      <c r="SXR266" s="651"/>
      <c r="SXS266" s="691"/>
      <c r="SXT266" s="651"/>
      <c r="SXU266" s="691"/>
      <c r="SXV266" s="651"/>
      <c r="SXW266" s="691"/>
      <c r="SXX266" s="651"/>
      <c r="SXY266" s="691"/>
      <c r="SXZ266" s="651"/>
      <c r="SYA266" s="691"/>
      <c r="SYB266" s="651"/>
      <c r="SYC266" s="691"/>
      <c r="SYD266" s="651"/>
      <c r="SYE266" s="691"/>
      <c r="SYF266" s="651"/>
      <c r="SYG266" s="691"/>
      <c r="SYH266" s="651"/>
      <c r="SYI266" s="691"/>
      <c r="SYJ266" s="651"/>
      <c r="SYK266" s="691"/>
      <c r="SYL266" s="651"/>
      <c r="SYM266" s="691"/>
      <c r="SYN266" s="651"/>
      <c r="SYO266" s="691"/>
      <c r="SYP266" s="651"/>
      <c r="SYQ266" s="691"/>
      <c r="SYR266" s="651"/>
      <c r="SYS266" s="691"/>
      <c r="SYT266" s="651"/>
      <c r="SYU266" s="691"/>
      <c r="SYV266" s="651"/>
      <c r="SYW266" s="691"/>
      <c r="SYX266" s="651"/>
      <c r="SYY266" s="691"/>
      <c r="SYZ266" s="651"/>
      <c r="SZA266" s="691"/>
      <c r="SZB266" s="651"/>
      <c r="SZC266" s="691"/>
      <c r="SZD266" s="651"/>
      <c r="SZE266" s="691"/>
      <c r="SZF266" s="651"/>
      <c r="SZG266" s="691"/>
      <c r="SZH266" s="651"/>
      <c r="SZI266" s="691"/>
      <c r="SZJ266" s="651"/>
      <c r="SZK266" s="691"/>
      <c r="SZL266" s="651"/>
      <c r="SZM266" s="691"/>
      <c r="SZN266" s="651"/>
      <c r="SZO266" s="691"/>
      <c r="SZP266" s="651"/>
      <c r="SZQ266" s="691"/>
      <c r="SZR266" s="651"/>
      <c r="SZS266" s="691"/>
      <c r="SZT266" s="651"/>
      <c r="SZU266" s="691"/>
      <c r="SZV266" s="651"/>
      <c r="SZW266" s="691"/>
      <c r="SZX266" s="651"/>
      <c r="SZY266" s="691"/>
      <c r="SZZ266" s="651"/>
      <c r="TAA266" s="691"/>
      <c r="TAB266" s="651"/>
      <c r="TAC266" s="691"/>
      <c r="TAD266" s="651"/>
      <c r="TAE266" s="691"/>
      <c r="TAF266" s="651"/>
      <c r="TAG266" s="691"/>
      <c r="TAH266" s="651"/>
      <c r="TAI266" s="691"/>
      <c r="TAJ266" s="651"/>
      <c r="TAK266" s="691"/>
      <c r="TAL266" s="651"/>
      <c r="TAM266" s="691"/>
      <c r="TAN266" s="651"/>
      <c r="TAO266" s="691"/>
      <c r="TAP266" s="651"/>
      <c r="TAQ266" s="691"/>
      <c r="TAR266" s="651"/>
      <c r="TAS266" s="691"/>
      <c r="TAT266" s="651"/>
      <c r="TAU266" s="691"/>
      <c r="TAV266" s="651"/>
      <c r="TAW266" s="691"/>
      <c r="TAX266" s="651"/>
      <c r="TAY266" s="691"/>
      <c r="TAZ266" s="651"/>
      <c r="TBA266" s="691"/>
      <c r="TBB266" s="651"/>
      <c r="TBC266" s="691"/>
      <c r="TBD266" s="651"/>
      <c r="TBE266" s="691"/>
      <c r="TBF266" s="651"/>
      <c r="TBG266" s="691"/>
      <c r="TBH266" s="651"/>
      <c r="TBI266" s="691"/>
      <c r="TBJ266" s="651"/>
      <c r="TBK266" s="691"/>
      <c r="TBL266" s="651"/>
      <c r="TBM266" s="691"/>
      <c r="TBN266" s="651"/>
      <c r="TBO266" s="691"/>
      <c r="TBP266" s="651"/>
      <c r="TBQ266" s="691"/>
      <c r="TBR266" s="651"/>
      <c r="TBS266" s="691"/>
      <c r="TBT266" s="651"/>
      <c r="TBU266" s="691"/>
      <c r="TBV266" s="651"/>
      <c r="TBW266" s="691"/>
      <c r="TBX266" s="651"/>
      <c r="TBY266" s="691"/>
      <c r="TBZ266" s="651"/>
      <c r="TCA266" s="691"/>
      <c r="TCB266" s="651"/>
      <c r="TCC266" s="691"/>
      <c r="TCD266" s="651"/>
      <c r="TCE266" s="691"/>
      <c r="TCF266" s="651"/>
      <c r="TCG266" s="691"/>
      <c r="TCH266" s="651"/>
      <c r="TCI266" s="691"/>
      <c r="TCJ266" s="651"/>
      <c r="TCK266" s="691"/>
      <c r="TCL266" s="651"/>
      <c r="TCM266" s="691"/>
      <c r="TCN266" s="651"/>
      <c r="TCO266" s="691"/>
      <c r="TCP266" s="651"/>
      <c r="TCQ266" s="691"/>
      <c r="TCR266" s="651"/>
      <c r="TCS266" s="691"/>
      <c r="TCT266" s="651"/>
      <c r="TCU266" s="691"/>
      <c r="TCV266" s="651"/>
      <c r="TCW266" s="691"/>
      <c r="TCX266" s="651"/>
      <c r="TCY266" s="691"/>
      <c r="TCZ266" s="651"/>
      <c r="TDA266" s="691"/>
      <c r="TDB266" s="651"/>
      <c r="TDC266" s="691"/>
      <c r="TDD266" s="651"/>
      <c r="TDE266" s="691"/>
      <c r="TDF266" s="651"/>
      <c r="TDG266" s="691"/>
      <c r="TDH266" s="651"/>
      <c r="TDI266" s="691"/>
      <c r="TDJ266" s="651"/>
      <c r="TDK266" s="691"/>
      <c r="TDL266" s="651"/>
      <c r="TDM266" s="691"/>
      <c r="TDN266" s="651"/>
      <c r="TDO266" s="691"/>
      <c r="TDP266" s="651"/>
      <c r="TDQ266" s="691"/>
      <c r="TDR266" s="651"/>
      <c r="TDS266" s="691"/>
      <c r="TDT266" s="651"/>
      <c r="TDU266" s="691"/>
      <c r="TDV266" s="651"/>
      <c r="TDW266" s="691"/>
      <c r="TDX266" s="651"/>
      <c r="TDY266" s="691"/>
      <c r="TDZ266" s="651"/>
      <c r="TEA266" s="691"/>
      <c r="TEB266" s="651"/>
      <c r="TEC266" s="691"/>
      <c r="TED266" s="651"/>
      <c r="TEE266" s="691"/>
      <c r="TEF266" s="651"/>
      <c r="TEG266" s="691"/>
      <c r="TEH266" s="651"/>
      <c r="TEI266" s="691"/>
      <c r="TEJ266" s="651"/>
      <c r="TEK266" s="691"/>
      <c r="TEL266" s="651"/>
      <c r="TEM266" s="691"/>
      <c r="TEN266" s="651"/>
      <c r="TEO266" s="691"/>
      <c r="TEP266" s="651"/>
      <c r="TEQ266" s="691"/>
      <c r="TER266" s="651"/>
      <c r="TES266" s="691"/>
      <c r="TET266" s="651"/>
      <c r="TEU266" s="691"/>
      <c r="TEV266" s="651"/>
      <c r="TEW266" s="691"/>
      <c r="TEX266" s="651"/>
      <c r="TEY266" s="691"/>
      <c r="TEZ266" s="651"/>
      <c r="TFA266" s="691"/>
      <c r="TFB266" s="651"/>
      <c r="TFC266" s="691"/>
      <c r="TFD266" s="651"/>
      <c r="TFE266" s="691"/>
      <c r="TFF266" s="651"/>
      <c r="TFG266" s="691"/>
      <c r="TFH266" s="651"/>
      <c r="TFI266" s="691"/>
      <c r="TFJ266" s="651"/>
      <c r="TFK266" s="691"/>
      <c r="TFL266" s="651"/>
      <c r="TFM266" s="691"/>
      <c r="TFN266" s="651"/>
      <c r="TFO266" s="691"/>
      <c r="TFP266" s="651"/>
      <c r="TFQ266" s="691"/>
      <c r="TFR266" s="651"/>
      <c r="TFS266" s="691"/>
      <c r="TFT266" s="651"/>
      <c r="TFU266" s="691"/>
      <c r="TFV266" s="651"/>
      <c r="TFW266" s="691"/>
      <c r="TFX266" s="651"/>
      <c r="TFY266" s="691"/>
      <c r="TFZ266" s="651"/>
      <c r="TGA266" s="691"/>
      <c r="TGB266" s="651"/>
      <c r="TGC266" s="691"/>
      <c r="TGD266" s="651"/>
      <c r="TGE266" s="691"/>
      <c r="TGF266" s="651"/>
      <c r="TGG266" s="691"/>
      <c r="TGH266" s="651"/>
      <c r="TGI266" s="691"/>
      <c r="TGJ266" s="651"/>
      <c r="TGK266" s="691"/>
      <c r="TGL266" s="651"/>
      <c r="TGM266" s="691"/>
      <c r="TGN266" s="651"/>
      <c r="TGO266" s="691"/>
      <c r="TGP266" s="651"/>
      <c r="TGQ266" s="691"/>
      <c r="TGR266" s="651"/>
      <c r="TGS266" s="691"/>
      <c r="TGT266" s="651"/>
      <c r="TGU266" s="691"/>
      <c r="TGV266" s="651"/>
      <c r="TGW266" s="691"/>
      <c r="TGX266" s="651"/>
      <c r="TGY266" s="691"/>
      <c r="TGZ266" s="651"/>
      <c r="THA266" s="691"/>
      <c r="THB266" s="651"/>
      <c r="THC266" s="691"/>
      <c r="THD266" s="651"/>
      <c r="THE266" s="691"/>
      <c r="THF266" s="651"/>
      <c r="THG266" s="691"/>
      <c r="THH266" s="651"/>
      <c r="THI266" s="691"/>
      <c r="THJ266" s="651"/>
      <c r="THK266" s="691"/>
      <c r="THL266" s="651"/>
      <c r="THM266" s="691"/>
      <c r="THN266" s="651"/>
      <c r="THO266" s="691"/>
      <c r="THP266" s="651"/>
      <c r="THQ266" s="691"/>
      <c r="THR266" s="651"/>
      <c r="THS266" s="691"/>
      <c r="THT266" s="651"/>
      <c r="THU266" s="691"/>
      <c r="THV266" s="651"/>
      <c r="THW266" s="691"/>
      <c r="THX266" s="651"/>
      <c r="THY266" s="691"/>
      <c r="THZ266" s="651"/>
      <c r="TIA266" s="691"/>
      <c r="TIB266" s="651"/>
      <c r="TIC266" s="691"/>
      <c r="TID266" s="651"/>
      <c r="TIE266" s="691"/>
      <c r="TIF266" s="651"/>
      <c r="TIG266" s="691"/>
      <c r="TIH266" s="651"/>
      <c r="TII266" s="691"/>
      <c r="TIJ266" s="651"/>
      <c r="TIK266" s="691"/>
      <c r="TIL266" s="651"/>
      <c r="TIM266" s="691"/>
      <c r="TIN266" s="651"/>
      <c r="TIO266" s="691"/>
      <c r="TIP266" s="651"/>
      <c r="TIQ266" s="691"/>
      <c r="TIR266" s="651"/>
      <c r="TIS266" s="691"/>
      <c r="TIT266" s="651"/>
      <c r="TIU266" s="691"/>
      <c r="TIV266" s="651"/>
      <c r="TIW266" s="691"/>
      <c r="TIX266" s="651"/>
      <c r="TIY266" s="691"/>
      <c r="TIZ266" s="651"/>
      <c r="TJA266" s="691"/>
      <c r="TJB266" s="651"/>
      <c r="TJC266" s="691"/>
      <c r="TJD266" s="651"/>
      <c r="TJE266" s="691"/>
      <c r="TJF266" s="651"/>
      <c r="TJG266" s="691"/>
      <c r="TJH266" s="651"/>
      <c r="TJI266" s="691"/>
      <c r="TJJ266" s="651"/>
      <c r="TJK266" s="691"/>
      <c r="TJL266" s="651"/>
      <c r="TJM266" s="691"/>
      <c r="TJN266" s="651"/>
      <c r="TJO266" s="691"/>
      <c r="TJP266" s="651"/>
      <c r="TJQ266" s="691"/>
      <c r="TJR266" s="651"/>
      <c r="TJS266" s="691"/>
      <c r="TJT266" s="651"/>
      <c r="TJU266" s="691"/>
      <c r="TJV266" s="651"/>
      <c r="TJW266" s="691"/>
      <c r="TJX266" s="651"/>
      <c r="TJY266" s="691"/>
      <c r="TJZ266" s="651"/>
      <c r="TKA266" s="691"/>
      <c r="TKB266" s="651"/>
      <c r="TKC266" s="691"/>
      <c r="TKD266" s="651"/>
      <c r="TKE266" s="691"/>
      <c r="TKF266" s="651"/>
      <c r="TKG266" s="691"/>
      <c r="TKH266" s="651"/>
      <c r="TKI266" s="691"/>
      <c r="TKJ266" s="651"/>
      <c r="TKK266" s="691"/>
      <c r="TKL266" s="651"/>
      <c r="TKM266" s="691"/>
      <c r="TKN266" s="651"/>
      <c r="TKO266" s="691"/>
      <c r="TKP266" s="651"/>
      <c r="TKQ266" s="691"/>
      <c r="TKR266" s="651"/>
      <c r="TKS266" s="691"/>
      <c r="TKT266" s="651"/>
      <c r="TKU266" s="691"/>
      <c r="TKV266" s="651"/>
      <c r="TKW266" s="691"/>
      <c r="TKX266" s="651"/>
      <c r="TKY266" s="691"/>
      <c r="TKZ266" s="651"/>
      <c r="TLA266" s="691"/>
      <c r="TLB266" s="651"/>
      <c r="TLC266" s="691"/>
      <c r="TLD266" s="651"/>
      <c r="TLE266" s="691"/>
      <c r="TLF266" s="651"/>
      <c r="TLG266" s="691"/>
      <c r="TLH266" s="651"/>
      <c r="TLI266" s="691"/>
      <c r="TLJ266" s="651"/>
      <c r="TLK266" s="691"/>
      <c r="TLL266" s="651"/>
      <c r="TLM266" s="691"/>
      <c r="TLN266" s="651"/>
      <c r="TLO266" s="691"/>
      <c r="TLP266" s="651"/>
      <c r="TLQ266" s="691"/>
      <c r="TLR266" s="651"/>
      <c r="TLS266" s="691"/>
      <c r="TLT266" s="651"/>
      <c r="TLU266" s="691"/>
      <c r="TLV266" s="651"/>
      <c r="TLW266" s="691"/>
      <c r="TLX266" s="651"/>
      <c r="TLY266" s="691"/>
      <c r="TLZ266" s="651"/>
      <c r="TMA266" s="691"/>
      <c r="TMB266" s="651"/>
      <c r="TMC266" s="691"/>
      <c r="TMD266" s="651"/>
      <c r="TME266" s="691"/>
      <c r="TMF266" s="651"/>
      <c r="TMG266" s="691"/>
      <c r="TMH266" s="651"/>
      <c r="TMI266" s="691"/>
      <c r="TMJ266" s="651"/>
      <c r="TMK266" s="691"/>
      <c r="TML266" s="651"/>
      <c r="TMM266" s="691"/>
      <c r="TMN266" s="651"/>
      <c r="TMO266" s="691"/>
      <c r="TMP266" s="651"/>
      <c r="TMQ266" s="691"/>
      <c r="TMR266" s="651"/>
      <c r="TMS266" s="691"/>
      <c r="TMT266" s="651"/>
      <c r="TMU266" s="691"/>
      <c r="TMV266" s="651"/>
      <c r="TMW266" s="691"/>
      <c r="TMX266" s="651"/>
      <c r="TMY266" s="691"/>
      <c r="TMZ266" s="651"/>
      <c r="TNA266" s="691"/>
      <c r="TNB266" s="651"/>
      <c r="TNC266" s="691"/>
      <c r="TND266" s="651"/>
      <c r="TNE266" s="691"/>
      <c r="TNF266" s="651"/>
      <c r="TNG266" s="691"/>
      <c r="TNH266" s="651"/>
      <c r="TNI266" s="691"/>
      <c r="TNJ266" s="651"/>
      <c r="TNK266" s="691"/>
      <c r="TNL266" s="651"/>
      <c r="TNM266" s="691"/>
      <c r="TNN266" s="651"/>
      <c r="TNO266" s="691"/>
      <c r="TNP266" s="651"/>
      <c r="TNQ266" s="691"/>
      <c r="TNR266" s="651"/>
      <c r="TNS266" s="691"/>
      <c r="TNT266" s="651"/>
      <c r="TNU266" s="691"/>
      <c r="TNV266" s="651"/>
      <c r="TNW266" s="691"/>
      <c r="TNX266" s="651"/>
      <c r="TNY266" s="691"/>
      <c r="TNZ266" s="651"/>
      <c r="TOA266" s="691"/>
      <c r="TOB266" s="651"/>
      <c r="TOC266" s="691"/>
      <c r="TOD266" s="651"/>
      <c r="TOE266" s="691"/>
      <c r="TOF266" s="651"/>
      <c r="TOG266" s="691"/>
      <c r="TOH266" s="651"/>
      <c r="TOI266" s="691"/>
      <c r="TOJ266" s="651"/>
      <c r="TOK266" s="691"/>
      <c r="TOL266" s="651"/>
      <c r="TOM266" s="691"/>
      <c r="TON266" s="651"/>
      <c r="TOO266" s="691"/>
      <c r="TOP266" s="651"/>
      <c r="TOQ266" s="691"/>
      <c r="TOR266" s="651"/>
      <c r="TOS266" s="691"/>
      <c r="TOT266" s="651"/>
      <c r="TOU266" s="691"/>
      <c r="TOV266" s="651"/>
      <c r="TOW266" s="691"/>
      <c r="TOX266" s="651"/>
      <c r="TOY266" s="691"/>
      <c r="TOZ266" s="651"/>
      <c r="TPA266" s="691"/>
      <c r="TPB266" s="651"/>
      <c r="TPC266" s="691"/>
      <c r="TPD266" s="651"/>
      <c r="TPE266" s="691"/>
      <c r="TPF266" s="651"/>
      <c r="TPG266" s="691"/>
      <c r="TPH266" s="651"/>
      <c r="TPI266" s="691"/>
      <c r="TPJ266" s="651"/>
      <c r="TPK266" s="691"/>
      <c r="TPL266" s="651"/>
      <c r="TPM266" s="691"/>
      <c r="TPN266" s="651"/>
      <c r="TPO266" s="691"/>
      <c r="TPP266" s="651"/>
      <c r="TPQ266" s="691"/>
      <c r="TPR266" s="651"/>
      <c r="TPS266" s="691"/>
      <c r="TPT266" s="651"/>
      <c r="TPU266" s="691"/>
      <c r="TPV266" s="651"/>
      <c r="TPW266" s="691"/>
      <c r="TPX266" s="651"/>
      <c r="TPY266" s="691"/>
      <c r="TPZ266" s="651"/>
      <c r="TQA266" s="691"/>
      <c r="TQB266" s="651"/>
      <c r="TQC266" s="691"/>
      <c r="TQD266" s="651"/>
      <c r="TQE266" s="691"/>
      <c r="TQF266" s="651"/>
      <c r="TQG266" s="691"/>
      <c r="TQH266" s="651"/>
      <c r="TQI266" s="691"/>
      <c r="TQJ266" s="651"/>
      <c r="TQK266" s="691"/>
      <c r="TQL266" s="651"/>
      <c r="TQM266" s="691"/>
      <c r="TQN266" s="651"/>
      <c r="TQO266" s="691"/>
      <c r="TQP266" s="651"/>
      <c r="TQQ266" s="691"/>
      <c r="TQR266" s="651"/>
      <c r="TQS266" s="691"/>
      <c r="TQT266" s="651"/>
      <c r="TQU266" s="691"/>
      <c r="TQV266" s="651"/>
      <c r="TQW266" s="691"/>
      <c r="TQX266" s="651"/>
      <c r="TQY266" s="691"/>
      <c r="TQZ266" s="651"/>
      <c r="TRA266" s="691"/>
      <c r="TRB266" s="651"/>
      <c r="TRC266" s="691"/>
      <c r="TRD266" s="651"/>
      <c r="TRE266" s="691"/>
      <c r="TRF266" s="651"/>
      <c r="TRG266" s="691"/>
      <c r="TRH266" s="651"/>
      <c r="TRI266" s="691"/>
      <c r="TRJ266" s="651"/>
      <c r="TRK266" s="691"/>
      <c r="TRL266" s="651"/>
      <c r="TRM266" s="691"/>
      <c r="TRN266" s="651"/>
      <c r="TRO266" s="691"/>
      <c r="TRP266" s="651"/>
      <c r="TRQ266" s="691"/>
      <c r="TRR266" s="651"/>
      <c r="TRS266" s="691"/>
      <c r="TRT266" s="651"/>
      <c r="TRU266" s="691"/>
      <c r="TRV266" s="651"/>
      <c r="TRW266" s="691"/>
      <c r="TRX266" s="651"/>
      <c r="TRY266" s="691"/>
      <c r="TRZ266" s="651"/>
      <c r="TSA266" s="691"/>
      <c r="TSB266" s="651"/>
      <c r="TSC266" s="691"/>
      <c r="TSD266" s="651"/>
      <c r="TSE266" s="691"/>
      <c r="TSF266" s="651"/>
      <c r="TSG266" s="691"/>
      <c r="TSH266" s="651"/>
      <c r="TSI266" s="691"/>
      <c r="TSJ266" s="651"/>
      <c r="TSK266" s="691"/>
      <c r="TSL266" s="651"/>
      <c r="TSM266" s="691"/>
      <c r="TSN266" s="651"/>
      <c r="TSO266" s="691"/>
      <c r="TSP266" s="651"/>
      <c r="TSQ266" s="691"/>
      <c r="TSR266" s="651"/>
      <c r="TSS266" s="691"/>
      <c r="TST266" s="651"/>
      <c r="TSU266" s="691"/>
      <c r="TSV266" s="651"/>
      <c r="TSW266" s="691"/>
      <c r="TSX266" s="651"/>
      <c r="TSY266" s="691"/>
      <c r="TSZ266" s="651"/>
      <c r="TTA266" s="691"/>
      <c r="TTB266" s="651"/>
      <c r="TTC266" s="691"/>
      <c r="TTD266" s="651"/>
      <c r="TTE266" s="691"/>
      <c r="TTF266" s="651"/>
      <c r="TTG266" s="691"/>
      <c r="TTH266" s="651"/>
      <c r="TTI266" s="691"/>
      <c r="TTJ266" s="651"/>
      <c r="TTK266" s="691"/>
      <c r="TTL266" s="651"/>
      <c r="TTM266" s="691"/>
      <c r="TTN266" s="651"/>
      <c r="TTO266" s="691"/>
      <c r="TTP266" s="651"/>
      <c r="TTQ266" s="691"/>
      <c r="TTR266" s="651"/>
      <c r="TTS266" s="691"/>
      <c r="TTT266" s="651"/>
      <c r="TTU266" s="691"/>
      <c r="TTV266" s="651"/>
      <c r="TTW266" s="691"/>
      <c r="TTX266" s="651"/>
      <c r="TTY266" s="691"/>
      <c r="TTZ266" s="651"/>
      <c r="TUA266" s="691"/>
      <c r="TUB266" s="651"/>
      <c r="TUC266" s="691"/>
      <c r="TUD266" s="651"/>
      <c r="TUE266" s="691"/>
      <c r="TUF266" s="651"/>
      <c r="TUG266" s="691"/>
      <c r="TUH266" s="651"/>
      <c r="TUI266" s="691"/>
      <c r="TUJ266" s="651"/>
      <c r="TUK266" s="691"/>
      <c r="TUL266" s="651"/>
      <c r="TUM266" s="691"/>
      <c r="TUN266" s="651"/>
      <c r="TUO266" s="691"/>
      <c r="TUP266" s="651"/>
      <c r="TUQ266" s="691"/>
      <c r="TUR266" s="651"/>
      <c r="TUS266" s="691"/>
      <c r="TUT266" s="651"/>
      <c r="TUU266" s="691"/>
      <c r="TUV266" s="651"/>
      <c r="TUW266" s="691"/>
      <c r="TUX266" s="651"/>
      <c r="TUY266" s="691"/>
      <c r="TUZ266" s="651"/>
      <c r="TVA266" s="691"/>
      <c r="TVB266" s="651"/>
      <c r="TVC266" s="691"/>
      <c r="TVD266" s="651"/>
      <c r="TVE266" s="691"/>
      <c r="TVF266" s="651"/>
      <c r="TVG266" s="691"/>
      <c r="TVH266" s="651"/>
      <c r="TVI266" s="691"/>
      <c r="TVJ266" s="651"/>
      <c r="TVK266" s="691"/>
      <c r="TVL266" s="651"/>
      <c r="TVM266" s="691"/>
      <c r="TVN266" s="651"/>
      <c r="TVO266" s="691"/>
      <c r="TVP266" s="651"/>
      <c r="TVQ266" s="691"/>
      <c r="TVR266" s="651"/>
      <c r="TVS266" s="691"/>
      <c r="TVT266" s="651"/>
      <c r="TVU266" s="691"/>
      <c r="TVV266" s="651"/>
      <c r="TVW266" s="691"/>
      <c r="TVX266" s="651"/>
      <c r="TVY266" s="691"/>
      <c r="TVZ266" s="651"/>
      <c r="TWA266" s="691"/>
      <c r="TWB266" s="651"/>
      <c r="TWC266" s="691"/>
      <c r="TWD266" s="651"/>
      <c r="TWE266" s="691"/>
      <c r="TWF266" s="651"/>
      <c r="TWG266" s="691"/>
      <c r="TWH266" s="651"/>
      <c r="TWI266" s="691"/>
      <c r="TWJ266" s="651"/>
      <c r="TWK266" s="691"/>
      <c r="TWL266" s="651"/>
      <c r="TWM266" s="691"/>
      <c r="TWN266" s="651"/>
      <c r="TWO266" s="691"/>
      <c r="TWP266" s="651"/>
      <c r="TWQ266" s="691"/>
      <c r="TWR266" s="651"/>
      <c r="TWS266" s="691"/>
      <c r="TWT266" s="651"/>
      <c r="TWU266" s="691"/>
      <c r="TWV266" s="651"/>
      <c r="TWW266" s="691"/>
      <c r="TWX266" s="651"/>
      <c r="TWY266" s="691"/>
      <c r="TWZ266" s="651"/>
      <c r="TXA266" s="691"/>
      <c r="TXB266" s="651"/>
      <c r="TXC266" s="691"/>
      <c r="TXD266" s="651"/>
      <c r="TXE266" s="691"/>
      <c r="TXF266" s="651"/>
      <c r="TXG266" s="691"/>
      <c r="TXH266" s="651"/>
      <c r="TXI266" s="691"/>
      <c r="TXJ266" s="651"/>
      <c r="TXK266" s="691"/>
      <c r="TXL266" s="651"/>
      <c r="TXM266" s="691"/>
      <c r="TXN266" s="651"/>
      <c r="TXO266" s="691"/>
      <c r="TXP266" s="651"/>
      <c r="TXQ266" s="691"/>
      <c r="TXR266" s="651"/>
      <c r="TXS266" s="691"/>
      <c r="TXT266" s="651"/>
      <c r="TXU266" s="691"/>
      <c r="TXV266" s="651"/>
      <c r="TXW266" s="691"/>
      <c r="TXX266" s="651"/>
      <c r="TXY266" s="691"/>
      <c r="TXZ266" s="651"/>
      <c r="TYA266" s="691"/>
      <c r="TYB266" s="651"/>
      <c r="TYC266" s="691"/>
      <c r="TYD266" s="651"/>
      <c r="TYE266" s="691"/>
      <c r="TYF266" s="651"/>
      <c r="TYG266" s="691"/>
      <c r="TYH266" s="651"/>
      <c r="TYI266" s="691"/>
      <c r="TYJ266" s="651"/>
      <c r="TYK266" s="691"/>
      <c r="TYL266" s="651"/>
      <c r="TYM266" s="691"/>
      <c r="TYN266" s="651"/>
      <c r="TYO266" s="691"/>
      <c r="TYP266" s="651"/>
      <c r="TYQ266" s="691"/>
      <c r="TYR266" s="651"/>
      <c r="TYS266" s="691"/>
      <c r="TYT266" s="651"/>
      <c r="TYU266" s="691"/>
      <c r="TYV266" s="651"/>
      <c r="TYW266" s="691"/>
      <c r="TYX266" s="651"/>
      <c r="TYY266" s="691"/>
      <c r="TYZ266" s="651"/>
      <c r="TZA266" s="691"/>
      <c r="TZB266" s="651"/>
      <c r="TZC266" s="691"/>
      <c r="TZD266" s="651"/>
      <c r="TZE266" s="691"/>
      <c r="TZF266" s="651"/>
      <c r="TZG266" s="691"/>
      <c r="TZH266" s="651"/>
      <c r="TZI266" s="691"/>
      <c r="TZJ266" s="651"/>
      <c r="TZK266" s="691"/>
      <c r="TZL266" s="651"/>
      <c r="TZM266" s="691"/>
      <c r="TZN266" s="651"/>
      <c r="TZO266" s="691"/>
      <c r="TZP266" s="651"/>
      <c r="TZQ266" s="691"/>
      <c r="TZR266" s="651"/>
      <c r="TZS266" s="691"/>
      <c r="TZT266" s="651"/>
      <c r="TZU266" s="691"/>
      <c r="TZV266" s="651"/>
      <c r="TZW266" s="691"/>
      <c r="TZX266" s="651"/>
      <c r="TZY266" s="691"/>
      <c r="TZZ266" s="651"/>
      <c r="UAA266" s="691"/>
      <c r="UAB266" s="651"/>
      <c r="UAC266" s="691"/>
      <c r="UAD266" s="651"/>
      <c r="UAE266" s="691"/>
      <c r="UAF266" s="651"/>
      <c r="UAG266" s="691"/>
      <c r="UAH266" s="651"/>
      <c r="UAI266" s="691"/>
      <c r="UAJ266" s="651"/>
      <c r="UAK266" s="691"/>
      <c r="UAL266" s="651"/>
      <c r="UAM266" s="691"/>
      <c r="UAN266" s="651"/>
      <c r="UAO266" s="691"/>
      <c r="UAP266" s="651"/>
      <c r="UAQ266" s="691"/>
      <c r="UAR266" s="651"/>
      <c r="UAS266" s="691"/>
      <c r="UAT266" s="651"/>
      <c r="UAU266" s="691"/>
      <c r="UAV266" s="651"/>
      <c r="UAW266" s="691"/>
      <c r="UAX266" s="651"/>
      <c r="UAY266" s="691"/>
      <c r="UAZ266" s="651"/>
      <c r="UBA266" s="691"/>
      <c r="UBB266" s="651"/>
      <c r="UBC266" s="691"/>
      <c r="UBD266" s="651"/>
      <c r="UBE266" s="691"/>
      <c r="UBF266" s="651"/>
      <c r="UBG266" s="691"/>
      <c r="UBH266" s="651"/>
      <c r="UBI266" s="691"/>
      <c r="UBJ266" s="651"/>
      <c r="UBK266" s="691"/>
      <c r="UBL266" s="651"/>
      <c r="UBM266" s="691"/>
      <c r="UBN266" s="651"/>
      <c r="UBO266" s="691"/>
      <c r="UBP266" s="651"/>
      <c r="UBQ266" s="691"/>
      <c r="UBR266" s="651"/>
      <c r="UBS266" s="691"/>
      <c r="UBT266" s="651"/>
      <c r="UBU266" s="691"/>
      <c r="UBV266" s="651"/>
      <c r="UBW266" s="691"/>
      <c r="UBX266" s="651"/>
      <c r="UBY266" s="691"/>
      <c r="UBZ266" s="651"/>
      <c r="UCA266" s="691"/>
      <c r="UCB266" s="651"/>
      <c r="UCC266" s="691"/>
      <c r="UCD266" s="651"/>
      <c r="UCE266" s="691"/>
      <c r="UCF266" s="651"/>
      <c r="UCG266" s="691"/>
      <c r="UCH266" s="651"/>
      <c r="UCI266" s="691"/>
      <c r="UCJ266" s="651"/>
      <c r="UCK266" s="691"/>
      <c r="UCL266" s="651"/>
      <c r="UCM266" s="691"/>
      <c r="UCN266" s="651"/>
      <c r="UCO266" s="691"/>
      <c r="UCP266" s="651"/>
      <c r="UCQ266" s="691"/>
      <c r="UCR266" s="651"/>
      <c r="UCS266" s="691"/>
      <c r="UCT266" s="651"/>
      <c r="UCU266" s="691"/>
      <c r="UCV266" s="651"/>
      <c r="UCW266" s="691"/>
      <c r="UCX266" s="651"/>
      <c r="UCY266" s="691"/>
      <c r="UCZ266" s="651"/>
      <c r="UDA266" s="691"/>
      <c r="UDB266" s="651"/>
      <c r="UDC266" s="691"/>
      <c r="UDD266" s="651"/>
      <c r="UDE266" s="691"/>
      <c r="UDF266" s="651"/>
      <c r="UDG266" s="691"/>
      <c r="UDH266" s="651"/>
      <c r="UDI266" s="691"/>
      <c r="UDJ266" s="651"/>
      <c r="UDK266" s="691"/>
      <c r="UDL266" s="651"/>
      <c r="UDM266" s="691"/>
      <c r="UDN266" s="651"/>
      <c r="UDO266" s="691"/>
      <c r="UDP266" s="651"/>
      <c r="UDQ266" s="691"/>
      <c r="UDR266" s="651"/>
      <c r="UDS266" s="691"/>
      <c r="UDT266" s="651"/>
      <c r="UDU266" s="691"/>
      <c r="UDV266" s="651"/>
      <c r="UDW266" s="691"/>
      <c r="UDX266" s="651"/>
      <c r="UDY266" s="691"/>
      <c r="UDZ266" s="651"/>
      <c r="UEA266" s="691"/>
      <c r="UEB266" s="651"/>
      <c r="UEC266" s="691"/>
      <c r="UED266" s="651"/>
      <c r="UEE266" s="691"/>
      <c r="UEF266" s="651"/>
      <c r="UEG266" s="691"/>
      <c r="UEH266" s="651"/>
      <c r="UEI266" s="691"/>
      <c r="UEJ266" s="651"/>
      <c r="UEK266" s="691"/>
      <c r="UEL266" s="651"/>
      <c r="UEM266" s="691"/>
      <c r="UEN266" s="651"/>
      <c r="UEO266" s="691"/>
      <c r="UEP266" s="651"/>
      <c r="UEQ266" s="691"/>
      <c r="UER266" s="651"/>
      <c r="UES266" s="691"/>
      <c r="UET266" s="651"/>
      <c r="UEU266" s="691"/>
      <c r="UEV266" s="651"/>
      <c r="UEW266" s="691"/>
      <c r="UEX266" s="651"/>
      <c r="UEY266" s="691"/>
      <c r="UEZ266" s="651"/>
      <c r="UFA266" s="691"/>
      <c r="UFB266" s="651"/>
      <c r="UFC266" s="691"/>
      <c r="UFD266" s="651"/>
      <c r="UFE266" s="691"/>
      <c r="UFF266" s="651"/>
      <c r="UFG266" s="691"/>
      <c r="UFH266" s="651"/>
      <c r="UFI266" s="691"/>
      <c r="UFJ266" s="651"/>
      <c r="UFK266" s="691"/>
      <c r="UFL266" s="651"/>
      <c r="UFM266" s="691"/>
      <c r="UFN266" s="651"/>
      <c r="UFO266" s="691"/>
      <c r="UFP266" s="651"/>
      <c r="UFQ266" s="691"/>
      <c r="UFR266" s="651"/>
      <c r="UFS266" s="691"/>
      <c r="UFT266" s="651"/>
      <c r="UFU266" s="691"/>
      <c r="UFV266" s="651"/>
      <c r="UFW266" s="691"/>
      <c r="UFX266" s="651"/>
      <c r="UFY266" s="691"/>
      <c r="UFZ266" s="651"/>
      <c r="UGA266" s="691"/>
      <c r="UGB266" s="651"/>
      <c r="UGC266" s="691"/>
      <c r="UGD266" s="651"/>
      <c r="UGE266" s="691"/>
      <c r="UGF266" s="651"/>
      <c r="UGG266" s="691"/>
      <c r="UGH266" s="651"/>
      <c r="UGI266" s="691"/>
      <c r="UGJ266" s="651"/>
      <c r="UGK266" s="691"/>
      <c r="UGL266" s="651"/>
      <c r="UGM266" s="691"/>
      <c r="UGN266" s="651"/>
      <c r="UGO266" s="691"/>
      <c r="UGP266" s="651"/>
      <c r="UGQ266" s="691"/>
      <c r="UGR266" s="651"/>
      <c r="UGS266" s="691"/>
      <c r="UGT266" s="651"/>
      <c r="UGU266" s="691"/>
      <c r="UGV266" s="651"/>
      <c r="UGW266" s="691"/>
      <c r="UGX266" s="651"/>
      <c r="UGY266" s="691"/>
      <c r="UGZ266" s="651"/>
      <c r="UHA266" s="691"/>
      <c r="UHB266" s="651"/>
      <c r="UHC266" s="691"/>
      <c r="UHD266" s="651"/>
      <c r="UHE266" s="691"/>
      <c r="UHF266" s="651"/>
      <c r="UHG266" s="691"/>
      <c r="UHH266" s="651"/>
      <c r="UHI266" s="691"/>
      <c r="UHJ266" s="651"/>
      <c r="UHK266" s="691"/>
      <c r="UHL266" s="651"/>
      <c r="UHM266" s="691"/>
      <c r="UHN266" s="651"/>
      <c r="UHO266" s="691"/>
      <c r="UHP266" s="651"/>
      <c r="UHQ266" s="691"/>
      <c r="UHR266" s="651"/>
      <c r="UHS266" s="691"/>
      <c r="UHT266" s="651"/>
      <c r="UHU266" s="691"/>
      <c r="UHV266" s="651"/>
      <c r="UHW266" s="691"/>
      <c r="UHX266" s="651"/>
      <c r="UHY266" s="691"/>
      <c r="UHZ266" s="651"/>
      <c r="UIA266" s="691"/>
      <c r="UIB266" s="651"/>
      <c r="UIC266" s="691"/>
      <c r="UID266" s="651"/>
      <c r="UIE266" s="691"/>
      <c r="UIF266" s="651"/>
      <c r="UIG266" s="691"/>
      <c r="UIH266" s="651"/>
      <c r="UII266" s="691"/>
      <c r="UIJ266" s="651"/>
      <c r="UIK266" s="691"/>
      <c r="UIL266" s="651"/>
      <c r="UIM266" s="691"/>
      <c r="UIN266" s="651"/>
      <c r="UIO266" s="691"/>
      <c r="UIP266" s="651"/>
      <c r="UIQ266" s="691"/>
      <c r="UIR266" s="651"/>
      <c r="UIS266" s="691"/>
      <c r="UIT266" s="651"/>
      <c r="UIU266" s="691"/>
      <c r="UIV266" s="651"/>
      <c r="UIW266" s="691"/>
      <c r="UIX266" s="651"/>
      <c r="UIY266" s="691"/>
      <c r="UIZ266" s="651"/>
      <c r="UJA266" s="691"/>
      <c r="UJB266" s="651"/>
      <c r="UJC266" s="691"/>
      <c r="UJD266" s="651"/>
      <c r="UJE266" s="691"/>
      <c r="UJF266" s="651"/>
      <c r="UJG266" s="691"/>
      <c r="UJH266" s="651"/>
      <c r="UJI266" s="691"/>
      <c r="UJJ266" s="651"/>
      <c r="UJK266" s="691"/>
      <c r="UJL266" s="651"/>
      <c r="UJM266" s="691"/>
      <c r="UJN266" s="651"/>
      <c r="UJO266" s="691"/>
      <c r="UJP266" s="651"/>
      <c r="UJQ266" s="691"/>
      <c r="UJR266" s="651"/>
      <c r="UJS266" s="691"/>
      <c r="UJT266" s="651"/>
      <c r="UJU266" s="691"/>
      <c r="UJV266" s="651"/>
      <c r="UJW266" s="691"/>
      <c r="UJX266" s="651"/>
      <c r="UJY266" s="691"/>
      <c r="UJZ266" s="651"/>
      <c r="UKA266" s="691"/>
      <c r="UKB266" s="651"/>
      <c r="UKC266" s="691"/>
      <c r="UKD266" s="651"/>
      <c r="UKE266" s="691"/>
      <c r="UKF266" s="651"/>
      <c r="UKG266" s="691"/>
      <c r="UKH266" s="651"/>
      <c r="UKI266" s="691"/>
      <c r="UKJ266" s="651"/>
      <c r="UKK266" s="691"/>
      <c r="UKL266" s="651"/>
      <c r="UKM266" s="691"/>
      <c r="UKN266" s="651"/>
      <c r="UKO266" s="691"/>
      <c r="UKP266" s="651"/>
      <c r="UKQ266" s="691"/>
      <c r="UKR266" s="651"/>
      <c r="UKS266" s="691"/>
      <c r="UKT266" s="651"/>
      <c r="UKU266" s="691"/>
      <c r="UKV266" s="651"/>
      <c r="UKW266" s="691"/>
      <c r="UKX266" s="651"/>
      <c r="UKY266" s="691"/>
      <c r="UKZ266" s="651"/>
      <c r="ULA266" s="691"/>
      <c r="ULB266" s="651"/>
      <c r="ULC266" s="691"/>
      <c r="ULD266" s="651"/>
      <c r="ULE266" s="691"/>
      <c r="ULF266" s="651"/>
      <c r="ULG266" s="691"/>
      <c r="ULH266" s="651"/>
      <c r="ULI266" s="691"/>
      <c r="ULJ266" s="651"/>
      <c r="ULK266" s="691"/>
      <c r="ULL266" s="651"/>
      <c r="ULM266" s="691"/>
      <c r="ULN266" s="651"/>
      <c r="ULO266" s="691"/>
      <c r="ULP266" s="651"/>
      <c r="ULQ266" s="691"/>
      <c r="ULR266" s="651"/>
      <c r="ULS266" s="691"/>
      <c r="ULT266" s="651"/>
      <c r="ULU266" s="691"/>
      <c r="ULV266" s="651"/>
      <c r="ULW266" s="691"/>
      <c r="ULX266" s="651"/>
      <c r="ULY266" s="691"/>
      <c r="ULZ266" s="651"/>
      <c r="UMA266" s="691"/>
      <c r="UMB266" s="651"/>
      <c r="UMC266" s="691"/>
      <c r="UMD266" s="651"/>
      <c r="UME266" s="691"/>
      <c r="UMF266" s="651"/>
      <c r="UMG266" s="691"/>
      <c r="UMH266" s="651"/>
      <c r="UMI266" s="691"/>
      <c r="UMJ266" s="651"/>
      <c r="UMK266" s="691"/>
      <c r="UML266" s="651"/>
      <c r="UMM266" s="691"/>
      <c r="UMN266" s="651"/>
      <c r="UMO266" s="691"/>
      <c r="UMP266" s="651"/>
      <c r="UMQ266" s="691"/>
      <c r="UMR266" s="651"/>
      <c r="UMS266" s="691"/>
      <c r="UMT266" s="651"/>
      <c r="UMU266" s="691"/>
      <c r="UMV266" s="651"/>
      <c r="UMW266" s="691"/>
      <c r="UMX266" s="651"/>
      <c r="UMY266" s="691"/>
      <c r="UMZ266" s="651"/>
      <c r="UNA266" s="691"/>
      <c r="UNB266" s="651"/>
      <c r="UNC266" s="691"/>
      <c r="UND266" s="651"/>
      <c r="UNE266" s="691"/>
      <c r="UNF266" s="651"/>
      <c r="UNG266" s="691"/>
      <c r="UNH266" s="651"/>
      <c r="UNI266" s="691"/>
      <c r="UNJ266" s="651"/>
      <c r="UNK266" s="691"/>
      <c r="UNL266" s="651"/>
      <c r="UNM266" s="691"/>
      <c r="UNN266" s="651"/>
      <c r="UNO266" s="691"/>
      <c r="UNP266" s="651"/>
      <c r="UNQ266" s="691"/>
      <c r="UNR266" s="651"/>
      <c r="UNS266" s="691"/>
      <c r="UNT266" s="651"/>
      <c r="UNU266" s="691"/>
      <c r="UNV266" s="651"/>
      <c r="UNW266" s="691"/>
      <c r="UNX266" s="651"/>
      <c r="UNY266" s="691"/>
      <c r="UNZ266" s="651"/>
      <c r="UOA266" s="691"/>
      <c r="UOB266" s="651"/>
      <c r="UOC266" s="691"/>
      <c r="UOD266" s="651"/>
      <c r="UOE266" s="691"/>
      <c r="UOF266" s="651"/>
      <c r="UOG266" s="691"/>
      <c r="UOH266" s="651"/>
      <c r="UOI266" s="691"/>
      <c r="UOJ266" s="651"/>
      <c r="UOK266" s="691"/>
      <c r="UOL266" s="651"/>
      <c r="UOM266" s="691"/>
      <c r="UON266" s="651"/>
      <c r="UOO266" s="691"/>
      <c r="UOP266" s="651"/>
      <c r="UOQ266" s="691"/>
      <c r="UOR266" s="651"/>
      <c r="UOS266" s="691"/>
      <c r="UOT266" s="651"/>
      <c r="UOU266" s="691"/>
      <c r="UOV266" s="651"/>
      <c r="UOW266" s="691"/>
      <c r="UOX266" s="651"/>
      <c r="UOY266" s="691"/>
      <c r="UOZ266" s="651"/>
      <c r="UPA266" s="691"/>
      <c r="UPB266" s="651"/>
      <c r="UPC266" s="691"/>
      <c r="UPD266" s="651"/>
      <c r="UPE266" s="691"/>
      <c r="UPF266" s="651"/>
      <c r="UPG266" s="691"/>
      <c r="UPH266" s="651"/>
      <c r="UPI266" s="691"/>
      <c r="UPJ266" s="651"/>
      <c r="UPK266" s="691"/>
      <c r="UPL266" s="651"/>
      <c r="UPM266" s="691"/>
      <c r="UPN266" s="651"/>
      <c r="UPO266" s="691"/>
      <c r="UPP266" s="651"/>
      <c r="UPQ266" s="691"/>
      <c r="UPR266" s="651"/>
      <c r="UPS266" s="691"/>
      <c r="UPT266" s="651"/>
      <c r="UPU266" s="691"/>
      <c r="UPV266" s="651"/>
      <c r="UPW266" s="691"/>
      <c r="UPX266" s="651"/>
      <c r="UPY266" s="691"/>
      <c r="UPZ266" s="651"/>
      <c r="UQA266" s="691"/>
      <c r="UQB266" s="651"/>
      <c r="UQC266" s="691"/>
      <c r="UQD266" s="651"/>
      <c r="UQE266" s="691"/>
      <c r="UQF266" s="651"/>
      <c r="UQG266" s="691"/>
      <c r="UQH266" s="651"/>
      <c r="UQI266" s="691"/>
      <c r="UQJ266" s="651"/>
      <c r="UQK266" s="691"/>
      <c r="UQL266" s="651"/>
      <c r="UQM266" s="691"/>
      <c r="UQN266" s="651"/>
      <c r="UQO266" s="691"/>
      <c r="UQP266" s="651"/>
      <c r="UQQ266" s="691"/>
      <c r="UQR266" s="651"/>
      <c r="UQS266" s="691"/>
      <c r="UQT266" s="651"/>
      <c r="UQU266" s="691"/>
      <c r="UQV266" s="651"/>
      <c r="UQW266" s="691"/>
      <c r="UQX266" s="651"/>
      <c r="UQY266" s="691"/>
      <c r="UQZ266" s="651"/>
      <c r="URA266" s="691"/>
      <c r="URB266" s="651"/>
      <c r="URC266" s="691"/>
      <c r="URD266" s="651"/>
      <c r="URE266" s="691"/>
      <c r="URF266" s="651"/>
      <c r="URG266" s="691"/>
      <c r="URH266" s="651"/>
      <c r="URI266" s="691"/>
      <c r="URJ266" s="651"/>
      <c r="URK266" s="691"/>
      <c r="URL266" s="651"/>
      <c r="URM266" s="691"/>
      <c r="URN266" s="651"/>
      <c r="URO266" s="691"/>
      <c r="URP266" s="651"/>
      <c r="URQ266" s="691"/>
      <c r="URR266" s="651"/>
      <c r="URS266" s="691"/>
      <c r="URT266" s="651"/>
      <c r="URU266" s="691"/>
      <c r="URV266" s="651"/>
      <c r="URW266" s="691"/>
      <c r="URX266" s="651"/>
      <c r="URY266" s="691"/>
      <c r="URZ266" s="651"/>
      <c r="USA266" s="691"/>
      <c r="USB266" s="651"/>
      <c r="USC266" s="691"/>
      <c r="USD266" s="651"/>
      <c r="USE266" s="691"/>
      <c r="USF266" s="651"/>
      <c r="USG266" s="691"/>
      <c r="USH266" s="651"/>
      <c r="USI266" s="691"/>
      <c r="USJ266" s="651"/>
      <c r="USK266" s="691"/>
      <c r="USL266" s="651"/>
      <c r="USM266" s="691"/>
      <c r="USN266" s="651"/>
      <c r="USO266" s="691"/>
      <c r="USP266" s="651"/>
      <c r="USQ266" s="691"/>
      <c r="USR266" s="651"/>
      <c r="USS266" s="691"/>
      <c r="UST266" s="651"/>
      <c r="USU266" s="691"/>
      <c r="USV266" s="651"/>
      <c r="USW266" s="691"/>
      <c r="USX266" s="651"/>
      <c r="USY266" s="691"/>
      <c r="USZ266" s="651"/>
      <c r="UTA266" s="691"/>
      <c r="UTB266" s="651"/>
      <c r="UTC266" s="691"/>
      <c r="UTD266" s="651"/>
      <c r="UTE266" s="691"/>
      <c r="UTF266" s="651"/>
      <c r="UTG266" s="691"/>
      <c r="UTH266" s="651"/>
      <c r="UTI266" s="691"/>
      <c r="UTJ266" s="651"/>
      <c r="UTK266" s="691"/>
      <c r="UTL266" s="651"/>
      <c r="UTM266" s="691"/>
      <c r="UTN266" s="651"/>
      <c r="UTO266" s="691"/>
      <c r="UTP266" s="651"/>
      <c r="UTQ266" s="691"/>
      <c r="UTR266" s="651"/>
      <c r="UTS266" s="691"/>
      <c r="UTT266" s="651"/>
      <c r="UTU266" s="691"/>
      <c r="UTV266" s="651"/>
      <c r="UTW266" s="691"/>
      <c r="UTX266" s="651"/>
      <c r="UTY266" s="691"/>
      <c r="UTZ266" s="651"/>
      <c r="UUA266" s="691"/>
      <c r="UUB266" s="651"/>
      <c r="UUC266" s="691"/>
      <c r="UUD266" s="651"/>
      <c r="UUE266" s="691"/>
      <c r="UUF266" s="651"/>
      <c r="UUG266" s="691"/>
      <c r="UUH266" s="651"/>
      <c r="UUI266" s="691"/>
      <c r="UUJ266" s="651"/>
      <c r="UUK266" s="691"/>
      <c r="UUL266" s="651"/>
      <c r="UUM266" s="691"/>
      <c r="UUN266" s="651"/>
      <c r="UUO266" s="691"/>
      <c r="UUP266" s="651"/>
      <c r="UUQ266" s="691"/>
      <c r="UUR266" s="651"/>
      <c r="UUS266" s="691"/>
      <c r="UUT266" s="651"/>
      <c r="UUU266" s="691"/>
      <c r="UUV266" s="651"/>
      <c r="UUW266" s="691"/>
      <c r="UUX266" s="651"/>
      <c r="UUY266" s="691"/>
      <c r="UUZ266" s="651"/>
      <c r="UVA266" s="691"/>
      <c r="UVB266" s="651"/>
      <c r="UVC266" s="691"/>
      <c r="UVD266" s="651"/>
      <c r="UVE266" s="691"/>
      <c r="UVF266" s="651"/>
      <c r="UVG266" s="691"/>
      <c r="UVH266" s="651"/>
      <c r="UVI266" s="691"/>
      <c r="UVJ266" s="651"/>
      <c r="UVK266" s="691"/>
      <c r="UVL266" s="651"/>
      <c r="UVM266" s="691"/>
      <c r="UVN266" s="651"/>
      <c r="UVO266" s="691"/>
      <c r="UVP266" s="651"/>
      <c r="UVQ266" s="691"/>
      <c r="UVR266" s="651"/>
      <c r="UVS266" s="691"/>
      <c r="UVT266" s="651"/>
      <c r="UVU266" s="691"/>
      <c r="UVV266" s="651"/>
      <c r="UVW266" s="691"/>
      <c r="UVX266" s="651"/>
      <c r="UVY266" s="691"/>
      <c r="UVZ266" s="651"/>
      <c r="UWA266" s="691"/>
      <c r="UWB266" s="651"/>
      <c r="UWC266" s="691"/>
      <c r="UWD266" s="651"/>
      <c r="UWE266" s="691"/>
      <c r="UWF266" s="651"/>
      <c r="UWG266" s="691"/>
      <c r="UWH266" s="651"/>
      <c r="UWI266" s="691"/>
      <c r="UWJ266" s="651"/>
      <c r="UWK266" s="691"/>
      <c r="UWL266" s="651"/>
      <c r="UWM266" s="691"/>
      <c r="UWN266" s="651"/>
      <c r="UWO266" s="691"/>
      <c r="UWP266" s="651"/>
      <c r="UWQ266" s="691"/>
      <c r="UWR266" s="651"/>
      <c r="UWS266" s="691"/>
      <c r="UWT266" s="651"/>
      <c r="UWU266" s="691"/>
      <c r="UWV266" s="651"/>
      <c r="UWW266" s="691"/>
      <c r="UWX266" s="651"/>
      <c r="UWY266" s="691"/>
      <c r="UWZ266" s="651"/>
      <c r="UXA266" s="691"/>
      <c r="UXB266" s="651"/>
      <c r="UXC266" s="691"/>
      <c r="UXD266" s="651"/>
      <c r="UXE266" s="691"/>
      <c r="UXF266" s="651"/>
      <c r="UXG266" s="691"/>
      <c r="UXH266" s="651"/>
      <c r="UXI266" s="691"/>
      <c r="UXJ266" s="651"/>
      <c r="UXK266" s="691"/>
      <c r="UXL266" s="651"/>
      <c r="UXM266" s="691"/>
      <c r="UXN266" s="651"/>
      <c r="UXO266" s="691"/>
      <c r="UXP266" s="651"/>
      <c r="UXQ266" s="691"/>
      <c r="UXR266" s="651"/>
      <c r="UXS266" s="691"/>
      <c r="UXT266" s="651"/>
      <c r="UXU266" s="691"/>
      <c r="UXV266" s="651"/>
      <c r="UXW266" s="691"/>
      <c r="UXX266" s="651"/>
      <c r="UXY266" s="691"/>
      <c r="UXZ266" s="651"/>
      <c r="UYA266" s="691"/>
      <c r="UYB266" s="651"/>
      <c r="UYC266" s="691"/>
      <c r="UYD266" s="651"/>
      <c r="UYE266" s="691"/>
      <c r="UYF266" s="651"/>
      <c r="UYG266" s="691"/>
      <c r="UYH266" s="651"/>
      <c r="UYI266" s="691"/>
      <c r="UYJ266" s="651"/>
      <c r="UYK266" s="691"/>
      <c r="UYL266" s="651"/>
      <c r="UYM266" s="691"/>
      <c r="UYN266" s="651"/>
      <c r="UYO266" s="691"/>
      <c r="UYP266" s="651"/>
      <c r="UYQ266" s="691"/>
      <c r="UYR266" s="651"/>
      <c r="UYS266" s="691"/>
      <c r="UYT266" s="651"/>
      <c r="UYU266" s="691"/>
      <c r="UYV266" s="651"/>
      <c r="UYW266" s="691"/>
      <c r="UYX266" s="651"/>
      <c r="UYY266" s="691"/>
      <c r="UYZ266" s="651"/>
      <c r="UZA266" s="691"/>
      <c r="UZB266" s="651"/>
      <c r="UZC266" s="691"/>
      <c r="UZD266" s="651"/>
      <c r="UZE266" s="691"/>
      <c r="UZF266" s="651"/>
      <c r="UZG266" s="691"/>
      <c r="UZH266" s="651"/>
      <c r="UZI266" s="691"/>
      <c r="UZJ266" s="651"/>
      <c r="UZK266" s="691"/>
      <c r="UZL266" s="651"/>
      <c r="UZM266" s="691"/>
      <c r="UZN266" s="651"/>
      <c r="UZO266" s="691"/>
      <c r="UZP266" s="651"/>
      <c r="UZQ266" s="691"/>
      <c r="UZR266" s="651"/>
      <c r="UZS266" s="691"/>
      <c r="UZT266" s="651"/>
      <c r="UZU266" s="691"/>
      <c r="UZV266" s="651"/>
      <c r="UZW266" s="691"/>
      <c r="UZX266" s="651"/>
      <c r="UZY266" s="691"/>
      <c r="UZZ266" s="651"/>
      <c r="VAA266" s="691"/>
      <c r="VAB266" s="651"/>
      <c r="VAC266" s="691"/>
      <c r="VAD266" s="651"/>
      <c r="VAE266" s="691"/>
      <c r="VAF266" s="651"/>
      <c r="VAG266" s="691"/>
      <c r="VAH266" s="651"/>
      <c r="VAI266" s="691"/>
      <c r="VAJ266" s="651"/>
      <c r="VAK266" s="691"/>
      <c r="VAL266" s="651"/>
      <c r="VAM266" s="691"/>
      <c r="VAN266" s="651"/>
      <c r="VAO266" s="691"/>
      <c r="VAP266" s="651"/>
      <c r="VAQ266" s="691"/>
      <c r="VAR266" s="651"/>
      <c r="VAS266" s="691"/>
      <c r="VAT266" s="651"/>
      <c r="VAU266" s="691"/>
      <c r="VAV266" s="651"/>
      <c r="VAW266" s="691"/>
      <c r="VAX266" s="651"/>
      <c r="VAY266" s="691"/>
      <c r="VAZ266" s="651"/>
      <c r="VBA266" s="691"/>
      <c r="VBB266" s="651"/>
      <c r="VBC266" s="691"/>
      <c r="VBD266" s="651"/>
      <c r="VBE266" s="691"/>
      <c r="VBF266" s="651"/>
      <c r="VBG266" s="691"/>
      <c r="VBH266" s="651"/>
      <c r="VBI266" s="691"/>
      <c r="VBJ266" s="651"/>
      <c r="VBK266" s="691"/>
      <c r="VBL266" s="651"/>
      <c r="VBM266" s="691"/>
      <c r="VBN266" s="651"/>
      <c r="VBO266" s="691"/>
      <c r="VBP266" s="651"/>
      <c r="VBQ266" s="691"/>
      <c r="VBR266" s="651"/>
      <c r="VBS266" s="691"/>
      <c r="VBT266" s="651"/>
      <c r="VBU266" s="691"/>
      <c r="VBV266" s="651"/>
      <c r="VBW266" s="691"/>
      <c r="VBX266" s="651"/>
      <c r="VBY266" s="691"/>
      <c r="VBZ266" s="651"/>
      <c r="VCA266" s="691"/>
      <c r="VCB266" s="651"/>
      <c r="VCC266" s="691"/>
      <c r="VCD266" s="651"/>
      <c r="VCE266" s="691"/>
      <c r="VCF266" s="651"/>
      <c r="VCG266" s="691"/>
      <c r="VCH266" s="651"/>
      <c r="VCI266" s="691"/>
      <c r="VCJ266" s="651"/>
      <c r="VCK266" s="691"/>
      <c r="VCL266" s="651"/>
      <c r="VCM266" s="691"/>
      <c r="VCN266" s="651"/>
      <c r="VCO266" s="691"/>
      <c r="VCP266" s="651"/>
      <c r="VCQ266" s="691"/>
      <c r="VCR266" s="651"/>
      <c r="VCS266" s="691"/>
      <c r="VCT266" s="651"/>
      <c r="VCU266" s="691"/>
      <c r="VCV266" s="651"/>
      <c r="VCW266" s="691"/>
      <c r="VCX266" s="651"/>
      <c r="VCY266" s="691"/>
      <c r="VCZ266" s="651"/>
      <c r="VDA266" s="691"/>
      <c r="VDB266" s="651"/>
      <c r="VDC266" s="691"/>
      <c r="VDD266" s="651"/>
      <c r="VDE266" s="691"/>
      <c r="VDF266" s="651"/>
      <c r="VDG266" s="691"/>
      <c r="VDH266" s="651"/>
      <c r="VDI266" s="691"/>
      <c r="VDJ266" s="651"/>
      <c r="VDK266" s="691"/>
      <c r="VDL266" s="651"/>
      <c r="VDM266" s="691"/>
      <c r="VDN266" s="651"/>
      <c r="VDO266" s="691"/>
      <c r="VDP266" s="651"/>
      <c r="VDQ266" s="691"/>
      <c r="VDR266" s="651"/>
      <c r="VDS266" s="691"/>
      <c r="VDT266" s="651"/>
      <c r="VDU266" s="691"/>
      <c r="VDV266" s="651"/>
      <c r="VDW266" s="691"/>
      <c r="VDX266" s="651"/>
      <c r="VDY266" s="691"/>
      <c r="VDZ266" s="651"/>
      <c r="VEA266" s="691"/>
      <c r="VEB266" s="651"/>
      <c r="VEC266" s="691"/>
      <c r="VED266" s="651"/>
      <c r="VEE266" s="691"/>
      <c r="VEF266" s="651"/>
      <c r="VEG266" s="691"/>
      <c r="VEH266" s="651"/>
      <c r="VEI266" s="691"/>
      <c r="VEJ266" s="651"/>
      <c r="VEK266" s="691"/>
      <c r="VEL266" s="651"/>
      <c r="VEM266" s="691"/>
      <c r="VEN266" s="651"/>
      <c r="VEO266" s="691"/>
      <c r="VEP266" s="651"/>
      <c r="VEQ266" s="691"/>
      <c r="VER266" s="651"/>
      <c r="VES266" s="691"/>
      <c r="VET266" s="651"/>
      <c r="VEU266" s="691"/>
      <c r="VEV266" s="651"/>
      <c r="VEW266" s="691"/>
      <c r="VEX266" s="651"/>
      <c r="VEY266" s="691"/>
      <c r="VEZ266" s="651"/>
      <c r="VFA266" s="691"/>
      <c r="VFB266" s="651"/>
      <c r="VFC266" s="691"/>
      <c r="VFD266" s="651"/>
      <c r="VFE266" s="691"/>
      <c r="VFF266" s="651"/>
      <c r="VFG266" s="691"/>
      <c r="VFH266" s="651"/>
      <c r="VFI266" s="691"/>
      <c r="VFJ266" s="651"/>
      <c r="VFK266" s="691"/>
      <c r="VFL266" s="651"/>
      <c r="VFM266" s="691"/>
      <c r="VFN266" s="651"/>
      <c r="VFO266" s="691"/>
      <c r="VFP266" s="651"/>
      <c r="VFQ266" s="691"/>
      <c r="VFR266" s="651"/>
      <c r="VFS266" s="691"/>
      <c r="VFT266" s="651"/>
      <c r="VFU266" s="691"/>
      <c r="VFV266" s="651"/>
      <c r="VFW266" s="691"/>
      <c r="VFX266" s="651"/>
      <c r="VFY266" s="691"/>
      <c r="VFZ266" s="651"/>
      <c r="VGA266" s="691"/>
      <c r="VGB266" s="651"/>
      <c r="VGC266" s="691"/>
      <c r="VGD266" s="651"/>
      <c r="VGE266" s="691"/>
      <c r="VGF266" s="651"/>
      <c r="VGG266" s="691"/>
      <c r="VGH266" s="651"/>
      <c r="VGI266" s="691"/>
      <c r="VGJ266" s="651"/>
      <c r="VGK266" s="691"/>
      <c r="VGL266" s="651"/>
      <c r="VGM266" s="691"/>
      <c r="VGN266" s="651"/>
      <c r="VGO266" s="691"/>
      <c r="VGP266" s="651"/>
      <c r="VGQ266" s="691"/>
      <c r="VGR266" s="651"/>
      <c r="VGS266" s="691"/>
      <c r="VGT266" s="651"/>
      <c r="VGU266" s="691"/>
      <c r="VGV266" s="651"/>
      <c r="VGW266" s="691"/>
      <c r="VGX266" s="651"/>
      <c r="VGY266" s="691"/>
      <c r="VGZ266" s="651"/>
      <c r="VHA266" s="691"/>
      <c r="VHB266" s="651"/>
      <c r="VHC266" s="691"/>
      <c r="VHD266" s="651"/>
      <c r="VHE266" s="691"/>
      <c r="VHF266" s="651"/>
      <c r="VHG266" s="691"/>
      <c r="VHH266" s="651"/>
      <c r="VHI266" s="691"/>
      <c r="VHJ266" s="651"/>
      <c r="VHK266" s="691"/>
      <c r="VHL266" s="651"/>
      <c r="VHM266" s="691"/>
      <c r="VHN266" s="651"/>
      <c r="VHO266" s="691"/>
      <c r="VHP266" s="651"/>
      <c r="VHQ266" s="691"/>
      <c r="VHR266" s="651"/>
      <c r="VHS266" s="691"/>
      <c r="VHT266" s="651"/>
      <c r="VHU266" s="691"/>
      <c r="VHV266" s="651"/>
      <c r="VHW266" s="691"/>
      <c r="VHX266" s="651"/>
      <c r="VHY266" s="691"/>
      <c r="VHZ266" s="651"/>
      <c r="VIA266" s="691"/>
      <c r="VIB266" s="651"/>
      <c r="VIC266" s="691"/>
      <c r="VID266" s="651"/>
      <c r="VIE266" s="691"/>
      <c r="VIF266" s="651"/>
      <c r="VIG266" s="691"/>
      <c r="VIH266" s="651"/>
      <c r="VII266" s="691"/>
      <c r="VIJ266" s="651"/>
      <c r="VIK266" s="691"/>
      <c r="VIL266" s="651"/>
      <c r="VIM266" s="691"/>
      <c r="VIN266" s="651"/>
      <c r="VIO266" s="691"/>
      <c r="VIP266" s="651"/>
      <c r="VIQ266" s="691"/>
      <c r="VIR266" s="651"/>
      <c r="VIS266" s="691"/>
      <c r="VIT266" s="651"/>
      <c r="VIU266" s="691"/>
      <c r="VIV266" s="651"/>
      <c r="VIW266" s="691"/>
      <c r="VIX266" s="651"/>
      <c r="VIY266" s="691"/>
      <c r="VIZ266" s="651"/>
      <c r="VJA266" s="691"/>
      <c r="VJB266" s="651"/>
      <c r="VJC266" s="691"/>
      <c r="VJD266" s="651"/>
      <c r="VJE266" s="691"/>
      <c r="VJF266" s="651"/>
      <c r="VJG266" s="691"/>
      <c r="VJH266" s="651"/>
      <c r="VJI266" s="691"/>
      <c r="VJJ266" s="651"/>
      <c r="VJK266" s="691"/>
      <c r="VJL266" s="651"/>
      <c r="VJM266" s="691"/>
      <c r="VJN266" s="651"/>
      <c r="VJO266" s="691"/>
      <c r="VJP266" s="651"/>
      <c r="VJQ266" s="691"/>
      <c r="VJR266" s="651"/>
      <c r="VJS266" s="691"/>
      <c r="VJT266" s="651"/>
      <c r="VJU266" s="691"/>
      <c r="VJV266" s="651"/>
      <c r="VJW266" s="691"/>
      <c r="VJX266" s="651"/>
      <c r="VJY266" s="691"/>
      <c r="VJZ266" s="651"/>
      <c r="VKA266" s="691"/>
      <c r="VKB266" s="651"/>
      <c r="VKC266" s="691"/>
      <c r="VKD266" s="651"/>
      <c r="VKE266" s="691"/>
      <c r="VKF266" s="651"/>
      <c r="VKG266" s="691"/>
      <c r="VKH266" s="651"/>
      <c r="VKI266" s="691"/>
      <c r="VKJ266" s="651"/>
      <c r="VKK266" s="691"/>
      <c r="VKL266" s="651"/>
      <c r="VKM266" s="691"/>
      <c r="VKN266" s="651"/>
      <c r="VKO266" s="691"/>
      <c r="VKP266" s="651"/>
      <c r="VKQ266" s="691"/>
      <c r="VKR266" s="651"/>
      <c r="VKS266" s="691"/>
      <c r="VKT266" s="651"/>
      <c r="VKU266" s="691"/>
      <c r="VKV266" s="651"/>
      <c r="VKW266" s="691"/>
      <c r="VKX266" s="651"/>
      <c r="VKY266" s="691"/>
      <c r="VKZ266" s="651"/>
      <c r="VLA266" s="691"/>
      <c r="VLB266" s="651"/>
      <c r="VLC266" s="691"/>
      <c r="VLD266" s="651"/>
      <c r="VLE266" s="691"/>
      <c r="VLF266" s="651"/>
      <c r="VLG266" s="691"/>
      <c r="VLH266" s="651"/>
      <c r="VLI266" s="691"/>
      <c r="VLJ266" s="651"/>
      <c r="VLK266" s="691"/>
      <c r="VLL266" s="651"/>
      <c r="VLM266" s="691"/>
      <c r="VLN266" s="651"/>
      <c r="VLO266" s="691"/>
      <c r="VLP266" s="651"/>
      <c r="VLQ266" s="691"/>
      <c r="VLR266" s="651"/>
      <c r="VLS266" s="691"/>
      <c r="VLT266" s="651"/>
      <c r="VLU266" s="691"/>
      <c r="VLV266" s="651"/>
      <c r="VLW266" s="691"/>
      <c r="VLX266" s="651"/>
      <c r="VLY266" s="691"/>
      <c r="VLZ266" s="651"/>
      <c r="VMA266" s="691"/>
      <c r="VMB266" s="651"/>
      <c r="VMC266" s="691"/>
      <c r="VMD266" s="651"/>
      <c r="VME266" s="691"/>
      <c r="VMF266" s="651"/>
      <c r="VMG266" s="691"/>
      <c r="VMH266" s="651"/>
      <c r="VMI266" s="691"/>
      <c r="VMJ266" s="651"/>
      <c r="VMK266" s="691"/>
      <c r="VML266" s="651"/>
      <c r="VMM266" s="691"/>
      <c r="VMN266" s="651"/>
      <c r="VMO266" s="691"/>
      <c r="VMP266" s="651"/>
      <c r="VMQ266" s="691"/>
      <c r="VMR266" s="651"/>
      <c r="VMS266" s="691"/>
      <c r="VMT266" s="651"/>
      <c r="VMU266" s="691"/>
      <c r="VMV266" s="651"/>
      <c r="VMW266" s="691"/>
      <c r="VMX266" s="651"/>
      <c r="VMY266" s="691"/>
      <c r="VMZ266" s="651"/>
      <c r="VNA266" s="691"/>
      <c r="VNB266" s="651"/>
      <c r="VNC266" s="691"/>
      <c r="VND266" s="651"/>
      <c r="VNE266" s="691"/>
      <c r="VNF266" s="651"/>
      <c r="VNG266" s="691"/>
      <c r="VNH266" s="651"/>
      <c r="VNI266" s="691"/>
      <c r="VNJ266" s="651"/>
      <c r="VNK266" s="691"/>
      <c r="VNL266" s="651"/>
      <c r="VNM266" s="691"/>
      <c r="VNN266" s="651"/>
      <c r="VNO266" s="691"/>
      <c r="VNP266" s="651"/>
      <c r="VNQ266" s="691"/>
      <c r="VNR266" s="651"/>
      <c r="VNS266" s="691"/>
      <c r="VNT266" s="651"/>
      <c r="VNU266" s="691"/>
      <c r="VNV266" s="651"/>
      <c r="VNW266" s="691"/>
      <c r="VNX266" s="651"/>
      <c r="VNY266" s="691"/>
      <c r="VNZ266" s="651"/>
      <c r="VOA266" s="691"/>
      <c r="VOB266" s="651"/>
      <c r="VOC266" s="691"/>
      <c r="VOD266" s="651"/>
      <c r="VOE266" s="691"/>
      <c r="VOF266" s="651"/>
      <c r="VOG266" s="691"/>
      <c r="VOH266" s="651"/>
      <c r="VOI266" s="691"/>
      <c r="VOJ266" s="651"/>
      <c r="VOK266" s="691"/>
      <c r="VOL266" s="651"/>
      <c r="VOM266" s="691"/>
      <c r="VON266" s="651"/>
      <c r="VOO266" s="691"/>
      <c r="VOP266" s="651"/>
      <c r="VOQ266" s="691"/>
      <c r="VOR266" s="651"/>
      <c r="VOS266" s="691"/>
      <c r="VOT266" s="651"/>
      <c r="VOU266" s="691"/>
      <c r="VOV266" s="651"/>
      <c r="VOW266" s="691"/>
      <c r="VOX266" s="651"/>
      <c r="VOY266" s="691"/>
      <c r="VOZ266" s="651"/>
      <c r="VPA266" s="691"/>
      <c r="VPB266" s="651"/>
      <c r="VPC266" s="691"/>
      <c r="VPD266" s="651"/>
      <c r="VPE266" s="691"/>
      <c r="VPF266" s="651"/>
      <c r="VPG266" s="691"/>
      <c r="VPH266" s="651"/>
      <c r="VPI266" s="691"/>
      <c r="VPJ266" s="651"/>
      <c r="VPK266" s="691"/>
      <c r="VPL266" s="651"/>
      <c r="VPM266" s="691"/>
      <c r="VPN266" s="651"/>
      <c r="VPO266" s="691"/>
      <c r="VPP266" s="651"/>
      <c r="VPQ266" s="691"/>
      <c r="VPR266" s="651"/>
      <c r="VPS266" s="691"/>
      <c r="VPT266" s="651"/>
      <c r="VPU266" s="691"/>
      <c r="VPV266" s="651"/>
      <c r="VPW266" s="691"/>
      <c r="VPX266" s="651"/>
      <c r="VPY266" s="691"/>
      <c r="VPZ266" s="651"/>
      <c r="VQA266" s="691"/>
      <c r="VQB266" s="651"/>
      <c r="VQC266" s="691"/>
      <c r="VQD266" s="651"/>
      <c r="VQE266" s="691"/>
      <c r="VQF266" s="651"/>
      <c r="VQG266" s="691"/>
      <c r="VQH266" s="651"/>
      <c r="VQI266" s="691"/>
      <c r="VQJ266" s="651"/>
      <c r="VQK266" s="691"/>
      <c r="VQL266" s="651"/>
      <c r="VQM266" s="691"/>
      <c r="VQN266" s="651"/>
      <c r="VQO266" s="691"/>
      <c r="VQP266" s="651"/>
      <c r="VQQ266" s="691"/>
      <c r="VQR266" s="651"/>
      <c r="VQS266" s="691"/>
      <c r="VQT266" s="651"/>
      <c r="VQU266" s="691"/>
      <c r="VQV266" s="651"/>
      <c r="VQW266" s="691"/>
      <c r="VQX266" s="651"/>
      <c r="VQY266" s="691"/>
      <c r="VQZ266" s="651"/>
      <c r="VRA266" s="691"/>
      <c r="VRB266" s="651"/>
      <c r="VRC266" s="691"/>
      <c r="VRD266" s="651"/>
      <c r="VRE266" s="691"/>
      <c r="VRF266" s="651"/>
      <c r="VRG266" s="691"/>
      <c r="VRH266" s="651"/>
      <c r="VRI266" s="691"/>
      <c r="VRJ266" s="651"/>
      <c r="VRK266" s="691"/>
      <c r="VRL266" s="651"/>
      <c r="VRM266" s="691"/>
      <c r="VRN266" s="651"/>
      <c r="VRO266" s="691"/>
      <c r="VRP266" s="651"/>
      <c r="VRQ266" s="691"/>
      <c r="VRR266" s="651"/>
      <c r="VRS266" s="691"/>
      <c r="VRT266" s="651"/>
      <c r="VRU266" s="691"/>
      <c r="VRV266" s="651"/>
      <c r="VRW266" s="691"/>
      <c r="VRX266" s="651"/>
      <c r="VRY266" s="691"/>
      <c r="VRZ266" s="651"/>
      <c r="VSA266" s="691"/>
      <c r="VSB266" s="651"/>
      <c r="VSC266" s="691"/>
      <c r="VSD266" s="651"/>
      <c r="VSE266" s="691"/>
      <c r="VSF266" s="651"/>
      <c r="VSG266" s="691"/>
      <c r="VSH266" s="651"/>
      <c r="VSI266" s="691"/>
      <c r="VSJ266" s="651"/>
      <c r="VSK266" s="691"/>
      <c r="VSL266" s="651"/>
      <c r="VSM266" s="691"/>
      <c r="VSN266" s="651"/>
      <c r="VSO266" s="691"/>
      <c r="VSP266" s="651"/>
      <c r="VSQ266" s="691"/>
      <c r="VSR266" s="651"/>
      <c r="VSS266" s="691"/>
      <c r="VST266" s="651"/>
      <c r="VSU266" s="691"/>
      <c r="VSV266" s="651"/>
      <c r="VSW266" s="691"/>
      <c r="VSX266" s="651"/>
      <c r="VSY266" s="691"/>
      <c r="VSZ266" s="651"/>
      <c r="VTA266" s="691"/>
      <c r="VTB266" s="651"/>
      <c r="VTC266" s="691"/>
      <c r="VTD266" s="651"/>
      <c r="VTE266" s="691"/>
      <c r="VTF266" s="651"/>
      <c r="VTG266" s="691"/>
      <c r="VTH266" s="651"/>
      <c r="VTI266" s="691"/>
      <c r="VTJ266" s="651"/>
      <c r="VTK266" s="691"/>
      <c r="VTL266" s="651"/>
      <c r="VTM266" s="691"/>
      <c r="VTN266" s="651"/>
      <c r="VTO266" s="691"/>
      <c r="VTP266" s="651"/>
      <c r="VTQ266" s="691"/>
      <c r="VTR266" s="651"/>
      <c r="VTS266" s="691"/>
      <c r="VTT266" s="651"/>
      <c r="VTU266" s="691"/>
      <c r="VTV266" s="651"/>
      <c r="VTW266" s="691"/>
      <c r="VTX266" s="651"/>
      <c r="VTY266" s="691"/>
      <c r="VTZ266" s="651"/>
      <c r="VUA266" s="691"/>
      <c r="VUB266" s="651"/>
      <c r="VUC266" s="691"/>
      <c r="VUD266" s="651"/>
      <c r="VUE266" s="691"/>
      <c r="VUF266" s="651"/>
      <c r="VUG266" s="691"/>
      <c r="VUH266" s="651"/>
      <c r="VUI266" s="691"/>
      <c r="VUJ266" s="651"/>
      <c r="VUK266" s="691"/>
      <c r="VUL266" s="651"/>
      <c r="VUM266" s="691"/>
      <c r="VUN266" s="651"/>
      <c r="VUO266" s="691"/>
      <c r="VUP266" s="651"/>
      <c r="VUQ266" s="691"/>
      <c r="VUR266" s="651"/>
      <c r="VUS266" s="691"/>
      <c r="VUT266" s="651"/>
      <c r="VUU266" s="691"/>
      <c r="VUV266" s="651"/>
      <c r="VUW266" s="691"/>
      <c r="VUX266" s="651"/>
      <c r="VUY266" s="691"/>
      <c r="VUZ266" s="651"/>
      <c r="VVA266" s="691"/>
      <c r="VVB266" s="651"/>
      <c r="VVC266" s="691"/>
      <c r="VVD266" s="651"/>
      <c r="VVE266" s="691"/>
      <c r="VVF266" s="651"/>
      <c r="VVG266" s="691"/>
      <c r="VVH266" s="651"/>
      <c r="VVI266" s="691"/>
      <c r="VVJ266" s="651"/>
      <c r="VVK266" s="691"/>
      <c r="VVL266" s="651"/>
      <c r="VVM266" s="691"/>
      <c r="VVN266" s="651"/>
      <c r="VVO266" s="691"/>
      <c r="VVP266" s="651"/>
      <c r="VVQ266" s="691"/>
      <c r="VVR266" s="651"/>
      <c r="VVS266" s="691"/>
      <c r="VVT266" s="651"/>
      <c r="VVU266" s="691"/>
      <c r="VVV266" s="651"/>
      <c r="VVW266" s="691"/>
      <c r="VVX266" s="651"/>
      <c r="VVY266" s="691"/>
      <c r="VVZ266" s="651"/>
      <c r="VWA266" s="691"/>
      <c r="VWB266" s="651"/>
      <c r="VWC266" s="691"/>
      <c r="VWD266" s="651"/>
      <c r="VWE266" s="691"/>
      <c r="VWF266" s="651"/>
      <c r="VWG266" s="691"/>
      <c r="VWH266" s="651"/>
      <c r="VWI266" s="691"/>
      <c r="VWJ266" s="651"/>
      <c r="VWK266" s="691"/>
      <c r="VWL266" s="651"/>
      <c r="VWM266" s="691"/>
      <c r="VWN266" s="651"/>
      <c r="VWO266" s="691"/>
      <c r="VWP266" s="651"/>
      <c r="VWQ266" s="691"/>
      <c r="VWR266" s="651"/>
      <c r="VWS266" s="691"/>
      <c r="VWT266" s="651"/>
      <c r="VWU266" s="691"/>
      <c r="VWV266" s="651"/>
      <c r="VWW266" s="691"/>
      <c r="VWX266" s="651"/>
      <c r="VWY266" s="691"/>
      <c r="VWZ266" s="651"/>
      <c r="VXA266" s="691"/>
      <c r="VXB266" s="651"/>
      <c r="VXC266" s="691"/>
      <c r="VXD266" s="651"/>
      <c r="VXE266" s="691"/>
      <c r="VXF266" s="651"/>
      <c r="VXG266" s="691"/>
      <c r="VXH266" s="651"/>
      <c r="VXI266" s="691"/>
      <c r="VXJ266" s="651"/>
      <c r="VXK266" s="691"/>
      <c r="VXL266" s="651"/>
      <c r="VXM266" s="691"/>
      <c r="VXN266" s="651"/>
      <c r="VXO266" s="691"/>
      <c r="VXP266" s="651"/>
      <c r="VXQ266" s="691"/>
      <c r="VXR266" s="651"/>
      <c r="VXS266" s="691"/>
      <c r="VXT266" s="651"/>
      <c r="VXU266" s="691"/>
      <c r="VXV266" s="651"/>
      <c r="VXW266" s="691"/>
      <c r="VXX266" s="651"/>
      <c r="VXY266" s="691"/>
      <c r="VXZ266" s="651"/>
      <c r="VYA266" s="691"/>
      <c r="VYB266" s="651"/>
      <c r="VYC266" s="691"/>
      <c r="VYD266" s="651"/>
      <c r="VYE266" s="691"/>
      <c r="VYF266" s="651"/>
      <c r="VYG266" s="691"/>
      <c r="VYH266" s="651"/>
      <c r="VYI266" s="691"/>
      <c r="VYJ266" s="651"/>
      <c r="VYK266" s="691"/>
      <c r="VYL266" s="651"/>
      <c r="VYM266" s="691"/>
      <c r="VYN266" s="651"/>
      <c r="VYO266" s="691"/>
      <c r="VYP266" s="651"/>
      <c r="VYQ266" s="691"/>
      <c r="VYR266" s="651"/>
      <c r="VYS266" s="691"/>
      <c r="VYT266" s="651"/>
      <c r="VYU266" s="691"/>
      <c r="VYV266" s="651"/>
      <c r="VYW266" s="691"/>
      <c r="VYX266" s="651"/>
      <c r="VYY266" s="691"/>
      <c r="VYZ266" s="651"/>
      <c r="VZA266" s="691"/>
      <c r="VZB266" s="651"/>
      <c r="VZC266" s="691"/>
      <c r="VZD266" s="651"/>
      <c r="VZE266" s="691"/>
      <c r="VZF266" s="651"/>
      <c r="VZG266" s="691"/>
      <c r="VZH266" s="651"/>
      <c r="VZI266" s="691"/>
      <c r="VZJ266" s="651"/>
      <c r="VZK266" s="691"/>
      <c r="VZL266" s="651"/>
      <c r="VZM266" s="691"/>
      <c r="VZN266" s="651"/>
      <c r="VZO266" s="691"/>
      <c r="VZP266" s="651"/>
      <c r="VZQ266" s="691"/>
      <c r="VZR266" s="651"/>
      <c r="VZS266" s="691"/>
      <c r="VZT266" s="651"/>
      <c r="VZU266" s="691"/>
      <c r="VZV266" s="651"/>
      <c r="VZW266" s="691"/>
      <c r="VZX266" s="651"/>
      <c r="VZY266" s="691"/>
      <c r="VZZ266" s="651"/>
      <c r="WAA266" s="691"/>
      <c r="WAB266" s="651"/>
      <c r="WAC266" s="691"/>
      <c r="WAD266" s="651"/>
      <c r="WAE266" s="691"/>
      <c r="WAF266" s="651"/>
      <c r="WAG266" s="691"/>
      <c r="WAH266" s="651"/>
      <c r="WAI266" s="691"/>
      <c r="WAJ266" s="651"/>
      <c r="WAK266" s="691"/>
      <c r="WAL266" s="651"/>
      <c r="WAM266" s="691"/>
      <c r="WAN266" s="651"/>
      <c r="WAO266" s="691"/>
      <c r="WAP266" s="651"/>
      <c r="WAQ266" s="691"/>
      <c r="WAR266" s="651"/>
      <c r="WAS266" s="691"/>
      <c r="WAT266" s="651"/>
      <c r="WAU266" s="691"/>
      <c r="WAV266" s="651"/>
      <c r="WAW266" s="691"/>
      <c r="WAX266" s="651"/>
      <c r="WAY266" s="691"/>
      <c r="WAZ266" s="651"/>
      <c r="WBA266" s="691"/>
      <c r="WBB266" s="651"/>
      <c r="WBC266" s="691"/>
      <c r="WBD266" s="651"/>
      <c r="WBE266" s="691"/>
      <c r="WBF266" s="651"/>
      <c r="WBG266" s="691"/>
      <c r="WBH266" s="651"/>
      <c r="WBI266" s="691"/>
      <c r="WBJ266" s="651"/>
      <c r="WBK266" s="691"/>
      <c r="WBL266" s="651"/>
      <c r="WBM266" s="691"/>
      <c r="WBN266" s="651"/>
      <c r="WBO266" s="691"/>
      <c r="WBP266" s="651"/>
      <c r="WBQ266" s="691"/>
      <c r="WBR266" s="651"/>
      <c r="WBS266" s="691"/>
      <c r="WBT266" s="651"/>
      <c r="WBU266" s="691"/>
      <c r="WBV266" s="651"/>
      <c r="WBW266" s="691"/>
      <c r="WBX266" s="651"/>
      <c r="WBY266" s="691"/>
      <c r="WBZ266" s="651"/>
      <c r="WCA266" s="691"/>
      <c r="WCB266" s="651"/>
      <c r="WCC266" s="691"/>
      <c r="WCD266" s="651"/>
      <c r="WCE266" s="691"/>
      <c r="WCF266" s="651"/>
      <c r="WCG266" s="691"/>
      <c r="WCH266" s="651"/>
      <c r="WCI266" s="691"/>
      <c r="WCJ266" s="651"/>
      <c r="WCK266" s="691"/>
      <c r="WCL266" s="651"/>
      <c r="WCM266" s="691"/>
      <c r="WCN266" s="651"/>
      <c r="WCO266" s="691"/>
      <c r="WCP266" s="651"/>
      <c r="WCQ266" s="691"/>
      <c r="WCR266" s="651"/>
      <c r="WCS266" s="691"/>
      <c r="WCT266" s="651"/>
      <c r="WCU266" s="691"/>
      <c r="WCV266" s="651"/>
      <c r="WCW266" s="691"/>
      <c r="WCX266" s="651"/>
      <c r="WCY266" s="691"/>
      <c r="WCZ266" s="651"/>
      <c r="WDA266" s="691"/>
      <c r="WDB266" s="651"/>
      <c r="WDC266" s="691"/>
      <c r="WDD266" s="651"/>
      <c r="WDE266" s="691"/>
      <c r="WDF266" s="651"/>
      <c r="WDG266" s="691"/>
      <c r="WDH266" s="651"/>
      <c r="WDI266" s="691"/>
      <c r="WDJ266" s="651"/>
      <c r="WDK266" s="691"/>
      <c r="WDL266" s="651"/>
      <c r="WDM266" s="691"/>
      <c r="WDN266" s="651"/>
      <c r="WDO266" s="691"/>
      <c r="WDP266" s="651"/>
      <c r="WDQ266" s="691"/>
      <c r="WDR266" s="651"/>
      <c r="WDS266" s="691"/>
      <c r="WDT266" s="651"/>
      <c r="WDU266" s="691"/>
      <c r="WDV266" s="651"/>
      <c r="WDW266" s="691"/>
      <c r="WDX266" s="651"/>
      <c r="WDY266" s="691"/>
      <c r="WDZ266" s="651"/>
      <c r="WEA266" s="691"/>
      <c r="WEB266" s="651"/>
      <c r="WEC266" s="691"/>
      <c r="WED266" s="651"/>
      <c r="WEE266" s="691"/>
      <c r="WEF266" s="651"/>
      <c r="WEG266" s="691"/>
      <c r="WEH266" s="651"/>
      <c r="WEI266" s="691"/>
      <c r="WEJ266" s="651"/>
      <c r="WEK266" s="691"/>
      <c r="WEL266" s="651"/>
      <c r="WEM266" s="691"/>
      <c r="WEN266" s="651"/>
      <c r="WEO266" s="691"/>
      <c r="WEP266" s="651"/>
      <c r="WEQ266" s="691"/>
      <c r="WER266" s="651"/>
      <c r="WES266" s="691"/>
      <c r="WET266" s="651"/>
      <c r="WEU266" s="691"/>
      <c r="WEV266" s="651"/>
      <c r="WEW266" s="691"/>
      <c r="WEX266" s="651"/>
      <c r="WEY266" s="691"/>
      <c r="WEZ266" s="651"/>
      <c r="WFA266" s="691"/>
      <c r="WFB266" s="651"/>
      <c r="WFC266" s="691"/>
      <c r="WFD266" s="651"/>
      <c r="WFE266" s="691"/>
      <c r="WFF266" s="651"/>
      <c r="WFG266" s="691"/>
      <c r="WFH266" s="651"/>
      <c r="WFI266" s="691"/>
      <c r="WFJ266" s="651"/>
      <c r="WFK266" s="691"/>
      <c r="WFL266" s="651"/>
      <c r="WFM266" s="691"/>
      <c r="WFN266" s="651"/>
      <c r="WFO266" s="691"/>
      <c r="WFP266" s="651"/>
      <c r="WFQ266" s="691"/>
      <c r="WFR266" s="651"/>
      <c r="WFS266" s="691"/>
      <c r="WFT266" s="651"/>
      <c r="WFU266" s="691"/>
      <c r="WFV266" s="651"/>
      <c r="WFW266" s="691"/>
      <c r="WFX266" s="651"/>
      <c r="WFY266" s="691"/>
      <c r="WFZ266" s="651"/>
      <c r="WGA266" s="691"/>
      <c r="WGB266" s="651"/>
      <c r="WGC266" s="691"/>
      <c r="WGD266" s="651"/>
      <c r="WGE266" s="691"/>
      <c r="WGF266" s="651"/>
      <c r="WGG266" s="691"/>
      <c r="WGH266" s="651"/>
      <c r="WGI266" s="691"/>
      <c r="WGJ266" s="651"/>
      <c r="WGK266" s="691"/>
      <c r="WGL266" s="651"/>
      <c r="WGM266" s="691"/>
      <c r="WGN266" s="651"/>
      <c r="WGO266" s="691"/>
      <c r="WGP266" s="651"/>
      <c r="WGQ266" s="691"/>
      <c r="WGR266" s="651"/>
      <c r="WGS266" s="691"/>
      <c r="WGT266" s="651"/>
      <c r="WGU266" s="691"/>
      <c r="WGV266" s="651"/>
      <c r="WGW266" s="691"/>
      <c r="WGX266" s="651"/>
      <c r="WGY266" s="691"/>
      <c r="WGZ266" s="651"/>
      <c r="WHA266" s="691"/>
      <c r="WHB266" s="651"/>
      <c r="WHC266" s="691"/>
      <c r="WHD266" s="651"/>
      <c r="WHE266" s="691"/>
      <c r="WHF266" s="651"/>
      <c r="WHG266" s="691"/>
      <c r="WHH266" s="651"/>
      <c r="WHI266" s="691"/>
      <c r="WHJ266" s="651"/>
      <c r="WHK266" s="691"/>
      <c r="WHL266" s="651"/>
      <c r="WHM266" s="691"/>
      <c r="WHN266" s="651"/>
      <c r="WHO266" s="691"/>
      <c r="WHP266" s="651"/>
      <c r="WHQ266" s="691"/>
      <c r="WHR266" s="651"/>
      <c r="WHS266" s="691"/>
      <c r="WHT266" s="651"/>
      <c r="WHU266" s="691"/>
      <c r="WHV266" s="651"/>
      <c r="WHW266" s="691"/>
      <c r="WHX266" s="651"/>
      <c r="WHY266" s="691"/>
      <c r="WHZ266" s="651"/>
      <c r="WIA266" s="691"/>
      <c r="WIB266" s="651"/>
      <c r="WIC266" s="691"/>
      <c r="WID266" s="651"/>
      <c r="WIE266" s="691"/>
      <c r="WIF266" s="651"/>
      <c r="WIG266" s="691"/>
      <c r="WIH266" s="651"/>
      <c r="WII266" s="691"/>
      <c r="WIJ266" s="651"/>
      <c r="WIK266" s="691"/>
      <c r="WIL266" s="651"/>
      <c r="WIM266" s="691"/>
      <c r="WIN266" s="651"/>
      <c r="WIO266" s="691"/>
      <c r="WIP266" s="651"/>
      <c r="WIQ266" s="691"/>
      <c r="WIR266" s="651"/>
      <c r="WIS266" s="691"/>
      <c r="WIT266" s="651"/>
      <c r="WIU266" s="691"/>
      <c r="WIV266" s="651"/>
      <c r="WIW266" s="691"/>
      <c r="WIX266" s="651"/>
      <c r="WIY266" s="691"/>
      <c r="WIZ266" s="651"/>
      <c r="WJA266" s="691"/>
      <c r="WJB266" s="651"/>
      <c r="WJC266" s="691"/>
      <c r="WJD266" s="651"/>
      <c r="WJE266" s="691"/>
      <c r="WJF266" s="651"/>
      <c r="WJG266" s="691"/>
      <c r="WJH266" s="651"/>
      <c r="WJI266" s="691"/>
      <c r="WJJ266" s="651"/>
      <c r="WJK266" s="691"/>
      <c r="WJL266" s="651"/>
      <c r="WJM266" s="691"/>
      <c r="WJN266" s="651"/>
      <c r="WJO266" s="691"/>
      <c r="WJP266" s="651"/>
      <c r="WJQ266" s="691"/>
      <c r="WJR266" s="651"/>
      <c r="WJS266" s="691"/>
      <c r="WJT266" s="651"/>
      <c r="WJU266" s="691"/>
      <c r="WJV266" s="651"/>
      <c r="WJW266" s="691"/>
      <c r="WJX266" s="651"/>
      <c r="WJY266" s="691"/>
      <c r="WJZ266" s="651"/>
      <c r="WKA266" s="691"/>
      <c r="WKB266" s="651"/>
      <c r="WKC266" s="691"/>
      <c r="WKD266" s="651"/>
      <c r="WKE266" s="691"/>
      <c r="WKF266" s="651"/>
      <c r="WKG266" s="691"/>
      <c r="WKH266" s="651"/>
      <c r="WKI266" s="691"/>
      <c r="WKJ266" s="651"/>
      <c r="WKK266" s="691"/>
      <c r="WKL266" s="651"/>
      <c r="WKM266" s="691"/>
      <c r="WKN266" s="651"/>
      <c r="WKO266" s="691"/>
      <c r="WKP266" s="651"/>
      <c r="WKQ266" s="691"/>
      <c r="WKR266" s="651"/>
      <c r="WKS266" s="691"/>
      <c r="WKT266" s="651"/>
      <c r="WKU266" s="691"/>
      <c r="WKV266" s="651"/>
      <c r="WKW266" s="691"/>
      <c r="WKX266" s="651"/>
      <c r="WKY266" s="691"/>
      <c r="WKZ266" s="651"/>
      <c r="WLA266" s="691"/>
      <c r="WLB266" s="651"/>
      <c r="WLC266" s="691"/>
      <c r="WLD266" s="651"/>
      <c r="WLE266" s="691"/>
      <c r="WLF266" s="651"/>
      <c r="WLG266" s="691"/>
      <c r="WLH266" s="651"/>
      <c r="WLI266" s="691"/>
      <c r="WLJ266" s="651"/>
      <c r="WLK266" s="691"/>
      <c r="WLL266" s="651"/>
      <c r="WLM266" s="691"/>
      <c r="WLN266" s="651"/>
      <c r="WLO266" s="691"/>
      <c r="WLP266" s="651"/>
      <c r="WLQ266" s="691"/>
      <c r="WLR266" s="651"/>
      <c r="WLS266" s="691"/>
      <c r="WLT266" s="651"/>
      <c r="WLU266" s="691"/>
      <c r="WLV266" s="651"/>
      <c r="WLW266" s="691"/>
      <c r="WLX266" s="651"/>
      <c r="WLY266" s="691"/>
      <c r="WLZ266" s="651"/>
      <c r="WMA266" s="691"/>
      <c r="WMB266" s="651"/>
      <c r="WMC266" s="691"/>
      <c r="WMD266" s="651"/>
      <c r="WME266" s="691"/>
      <c r="WMF266" s="651"/>
      <c r="WMG266" s="691"/>
      <c r="WMH266" s="651"/>
      <c r="WMI266" s="691"/>
      <c r="WMJ266" s="651"/>
      <c r="WMK266" s="691"/>
      <c r="WML266" s="651"/>
      <c r="WMM266" s="691"/>
      <c r="WMN266" s="651"/>
      <c r="WMO266" s="691"/>
      <c r="WMP266" s="651"/>
      <c r="WMQ266" s="691"/>
      <c r="WMR266" s="651"/>
      <c r="WMS266" s="691"/>
      <c r="WMT266" s="651"/>
      <c r="WMU266" s="691"/>
      <c r="WMV266" s="651"/>
      <c r="WMW266" s="691"/>
      <c r="WMX266" s="651"/>
      <c r="WMY266" s="691"/>
      <c r="WMZ266" s="651"/>
      <c r="WNA266" s="691"/>
      <c r="WNB266" s="651"/>
      <c r="WNC266" s="691"/>
      <c r="WND266" s="651"/>
      <c r="WNE266" s="691"/>
      <c r="WNF266" s="651"/>
      <c r="WNG266" s="691"/>
      <c r="WNH266" s="651"/>
      <c r="WNI266" s="691"/>
      <c r="WNJ266" s="651"/>
      <c r="WNK266" s="691"/>
      <c r="WNL266" s="651"/>
      <c r="WNM266" s="691"/>
      <c r="WNN266" s="651"/>
      <c r="WNO266" s="691"/>
      <c r="WNP266" s="651"/>
      <c r="WNQ266" s="691"/>
      <c r="WNR266" s="651"/>
      <c r="WNS266" s="691"/>
      <c r="WNT266" s="651"/>
      <c r="WNU266" s="691"/>
      <c r="WNV266" s="651"/>
      <c r="WNW266" s="691"/>
      <c r="WNX266" s="651"/>
      <c r="WNY266" s="691"/>
      <c r="WNZ266" s="651"/>
      <c r="WOA266" s="691"/>
      <c r="WOB266" s="651"/>
      <c r="WOC266" s="691"/>
      <c r="WOD266" s="651"/>
      <c r="WOE266" s="691"/>
      <c r="WOF266" s="651"/>
      <c r="WOG266" s="691"/>
      <c r="WOH266" s="651"/>
      <c r="WOI266" s="691"/>
      <c r="WOJ266" s="651"/>
      <c r="WOK266" s="691"/>
      <c r="WOL266" s="651"/>
      <c r="WOM266" s="691"/>
      <c r="WON266" s="651"/>
      <c r="WOO266" s="691"/>
      <c r="WOP266" s="651"/>
      <c r="WOQ266" s="691"/>
      <c r="WOR266" s="651"/>
      <c r="WOS266" s="691"/>
      <c r="WOT266" s="651"/>
      <c r="WOU266" s="691"/>
      <c r="WOV266" s="651"/>
      <c r="WOW266" s="691"/>
      <c r="WOX266" s="651"/>
      <c r="WOY266" s="691"/>
      <c r="WOZ266" s="651"/>
      <c r="WPA266" s="691"/>
      <c r="WPB266" s="651"/>
      <c r="WPC266" s="691"/>
      <c r="WPD266" s="651"/>
      <c r="WPE266" s="691"/>
      <c r="WPF266" s="651"/>
      <c r="WPG266" s="691"/>
      <c r="WPH266" s="651"/>
      <c r="WPI266" s="691"/>
      <c r="WPJ266" s="651"/>
      <c r="WPK266" s="691"/>
      <c r="WPL266" s="651"/>
      <c r="WPM266" s="691"/>
      <c r="WPN266" s="651"/>
      <c r="WPO266" s="691"/>
      <c r="WPP266" s="651"/>
      <c r="WPQ266" s="691"/>
      <c r="WPR266" s="651"/>
      <c r="WPS266" s="691"/>
      <c r="WPT266" s="651"/>
      <c r="WPU266" s="691"/>
      <c r="WPV266" s="651"/>
      <c r="WPW266" s="691"/>
      <c r="WPX266" s="651"/>
      <c r="WPY266" s="691"/>
      <c r="WPZ266" s="651"/>
      <c r="WQA266" s="691"/>
      <c r="WQB266" s="651"/>
      <c r="WQC266" s="691"/>
      <c r="WQD266" s="651"/>
      <c r="WQE266" s="691"/>
      <c r="WQF266" s="651"/>
      <c r="WQG266" s="691"/>
      <c r="WQH266" s="651"/>
      <c r="WQI266" s="691"/>
      <c r="WQJ266" s="651"/>
      <c r="WQK266" s="691"/>
      <c r="WQL266" s="651"/>
      <c r="WQM266" s="691"/>
      <c r="WQN266" s="651"/>
      <c r="WQO266" s="691"/>
      <c r="WQP266" s="651"/>
      <c r="WQQ266" s="691"/>
      <c r="WQR266" s="651"/>
      <c r="WQS266" s="691"/>
      <c r="WQT266" s="651"/>
      <c r="WQU266" s="691"/>
      <c r="WQV266" s="651"/>
      <c r="WQW266" s="691"/>
      <c r="WQX266" s="651"/>
      <c r="WQY266" s="691"/>
      <c r="WQZ266" s="651"/>
      <c r="WRA266" s="691"/>
      <c r="WRB266" s="651"/>
      <c r="WRC266" s="691"/>
      <c r="WRD266" s="651"/>
      <c r="WRE266" s="691"/>
      <c r="WRF266" s="651"/>
      <c r="WRG266" s="691"/>
      <c r="WRH266" s="651"/>
      <c r="WRI266" s="691"/>
      <c r="WRJ266" s="651"/>
      <c r="WRK266" s="691"/>
      <c r="WRL266" s="651"/>
      <c r="WRM266" s="691"/>
      <c r="WRN266" s="651"/>
      <c r="WRO266" s="691"/>
      <c r="WRP266" s="651"/>
      <c r="WRQ266" s="691"/>
      <c r="WRR266" s="651"/>
      <c r="WRS266" s="691"/>
      <c r="WRT266" s="651"/>
      <c r="WRU266" s="691"/>
      <c r="WRV266" s="651"/>
      <c r="WRW266" s="691"/>
      <c r="WRX266" s="651"/>
      <c r="WRY266" s="691"/>
      <c r="WRZ266" s="651"/>
      <c r="WSA266" s="691"/>
      <c r="WSB266" s="651"/>
      <c r="WSC266" s="691"/>
      <c r="WSD266" s="651"/>
      <c r="WSE266" s="691"/>
      <c r="WSF266" s="651"/>
      <c r="WSG266" s="691"/>
      <c r="WSH266" s="651"/>
      <c r="WSI266" s="691"/>
      <c r="WSJ266" s="651"/>
      <c r="WSK266" s="691"/>
      <c r="WSL266" s="651"/>
      <c r="WSM266" s="691"/>
      <c r="WSN266" s="651"/>
      <c r="WSO266" s="691"/>
      <c r="WSP266" s="651"/>
      <c r="WSQ266" s="691"/>
      <c r="WSR266" s="651"/>
      <c r="WSS266" s="691"/>
      <c r="WST266" s="651"/>
      <c r="WSU266" s="691"/>
      <c r="WSV266" s="651"/>
      <c r="WSW266" s="691"/>
      <c r="WSX266" s="651"/>
      <c r="WSY266" s="691"/>
      <c r="WSZ266" s="651"/>
      <c r="WTA266" s="691"/>
      <c r="WTB266" s="651"/>
      <c r="WTC266" s="691"/>
      <c r="WTD266" s="651"/>
      <c r="WTE266" s="691"/>
      <c r="WTF266" s="651"/>
      <c r="WTG266" s="691"/>
      <c r="WTH266" s="651"/>
      <c r="WTI266" s="691"/>
      <c r="WTJ266" s="651"/>
      <c r="WTK266" s="691"/>
      <c r="WTL266" s="651"/>
      <c r="WTM266" s="691"/>
      <c r="WTN266" s="651"/>
      <c r="WTO266" s="691"/>
      <c r="WTP266" s="651"/>
      <c r="WTQ266" s="691"/>
      <c r="WTR266" s="651"/>
      <c r="WTS266" s="691"/>
      <c r="WTT266" s="651"/>
      <c r="WTU266" s="691"/>
      <c r="WTV266" s="651"/>
      <c r="WTW266" s="691"/>
      <c r="WTX266" s="651"/>
      <c r="WTY266" s="691"/>
      <c r="WTZ266" s="651"/>
      <c r="WUA266" s="691"/>
      <c r="WUB266" s="651"/>
      <c r="WUC266" s="691"/>
      <c r="WUD266" s="651"/>
      <c r="WUE266" s="691"/>
      <c r="WUF266" s="651"/>
      <c r="WUG266" s="691"/>
      <c r="WUH266" s="651"/>
      <c r="WUI266" s="691"/>
      <c r="WUJ266" s="651"/>
      <c r="WUK266" s="691"/>
      <c r="WUL266" s="651"/>
      <c r="WUM266" s="691"/>
      <c r="WUN266" s="651"/>
      <c r="WUO266" s="691"/>
      <c r="WUP266" s="651"/>
      <c r="WUQ266" s="691"/>
      <c r="WUR266" s="651"/>
      <c r="WUS266" s="691"/>
      <c r="WUT266" s="651"/>
      <c r="WUU266" s="691"/>
      <c r="WUV266" s="651"/>
      <c r="WUW266" s="691"/>
      <c r="WUX266" s="651"/>
      <c r="WUY266" s="691"/>
      <c r="WUZ266" s="651"/>
      <c r="WVA266" s="691"/>
      <c r="WVB266" s="651"/>
      <c r="WVC266" s="691"/>
      <c r="WVD266" s="651"/>
      <c r="WVE266" s="691"/>
      <c r="WVF266" s="651"/>
      <c r="WVG266" s="691"/>
      <c r="WVH266" s="651"/>
      <c r="WVI266" s="691"/>
      <c r="WVJ266" s="651"/>
      <c r="WVK266" s="691"/>
      <c r="WVL266" s="651"/>
      <c r="WVM266" s="691"/>
      <c r="WVN266" s="651"/>
      <c r="WVO266" s="691"/>
      <c r="WVP266" s="651"/>
      <c r="WVQ266" s="691"/>
      <c r="WVR266" s="651"/>
      <c r="WVS266" s="691"/>
      <c r="WVT266" s="651"/>
      <c r="WVU266" s="691"/>
      <c r="WVV266" s="651"/>
      <c r="WVW266" s="691"/>
      <c r="WVX266" s="651"/>
      <c r="WVY266" s="691"/>
      <c r="WVZ266" s="651"/>
      <c r="WWA266" s="691"/>
      <c r="WWB266" s="651"/>
      <c r="WWC266" s="691"/>
      <c r="WWD266" s="651"/>
      <c r="WWE266" s="691"/>
      <c r="WWF266" s="651"/>
      <c r="WWG266" s="691"/>
      <c r="WWH266" s="651"/>
      <c r="WWI266" s="691"/>
      <c r="WWJ266" s="651"/>
      <c r="WWK266" s="691"/>
      <c r="WWL266" s="651"/>
      <c r="WWM266" s="691"/>
      <c r="WWN266" s="651"/>
      <c r="WWO266" s="691"/>
      <c r="WWP266" s="651"/>
      <c r="WWQ266" s="691"/>
      <c r="WWR266" s="651"/>
      <c r="WWS266" s="691"/>
      <c r="WWT266" s="651"/>
      <c r="WWU266" s="691"/>
      <c r="WWV266" s="651"/>
      <c r="WWW266" s="691"/>
      <c r="WWX266" s="651"/>
      <c r="WWY266" s="691"/>
      <c r="WWZ266" s="651"/>
      <c r="WXA266" s="691"/>
      <c r="WXB266" s="651"/>
      <c r="WXC266" s="691"/>
      <c r="WXD266" s="651"/>
      <c r="WXE266" s="691"/>
      <c r="WXF266" s="651"/>
      <c r="WXG266" s="691"/>
      <c r="WXH266" s="651"/>
      <c r="WXI266" s="691"/>
      <c r="WXJ266" s="651"/>
      <c r="WXK266" s="691"/>
      <c r="WXL266" s="651"/>
      <c r="WXM266" s="691"/>
      <c r="WXN266" s="651"/>
      <c r="WXO266" s="691"/>
      <c r="WXP266" s="651"/>
      <c r="WXQ266" s="691"/>
      <c r="WXR266" s="651"/>
      <c r="WXS266" s="691"/>
      <c r="WXT266" s="651"/>
      <c r="WXU266" s="691"/>
      <c r="WXV266" s="651"/>
      <c r="WXW266" s="691"/>
      <c r="WXX266" s="651"/>
      <c r="WXY266" s="691"/>
      <c r="WXZ266" s="651"/>
      <c r="WYA266" s="691"/>
      <c r="WYB266" s="651"/>
      <c r="WYC266" s="691"/>
      <c r="WYD266" s="651"/>
      <c r="WYE266" s="691"/>
      <c r="WYF266" s="651"/>
      <c r="WYG266" s="691"/>
      <c r="WYH266" s="651"/>
      <c r="WYI266" s="691"/>
      <c r="WYJ266" s="651"/>
      <c r="WYK266" s="691"/>
      <c r="WYL266" s="651"/>
      <c r="WYM266" s="691"/>
      <c r="WYN266" s="651"/>
      <c r="WYO266" s="691"/>
      <c r="WYP266" s="651"/>
      <c r="WYQ266" s="691"/>
      <c r="WYR266" s="651"/>
      <c r="WYS266" s="691"/>
      <c r="WYT266" s="651"/>
      <c r="WYU266" s="691"/>
      <c r="WYV266" s="651"/>
      <c r="WYW266" s="691"/>
      <c r="WYX266" s="651"/>
      <c r="WYY266" s="691"/>
      <c r="WYZ266" s="651"/>
      <c r="WZA266" s="691"/>
      <c r="WZB266" s="651"/>
      <c r="WZC266" s="691"/>
      <c r="WZD266" s="651"/>
      <c r="WZE266" s="691"/>
      <c r="WZF266" s="651"/>
      <c r="WZG266" s="691"/>
      <c r="WZH266" s="651"/>
      <c r="WZI266" s="691"/>
      <c r="WZJ266" s="651"/>
      <c r="WZK266" s="691"/>
      <c r="WZL266" s="651"/>
      <c r="WZM266" s="691"/>
      <c r="WZN266" s="651"/>
      <c r="WZO266" s="691"/>
      <c r="WZP266" s="651"/>
      <c r="WZQ266" s="691"/>
      <c r="WZR266" s="651"/>
      <c r="WZS266" s="691"/>
      <c r="WZT266" s="651"/>
      <c r="WZU266" s="691"/>
      <c r="WZV266" s="651"/>
      <c r="WZW266" s="691"/>
      <c r="WZX266" s="651"/>
      <c r="WZY266" s="691"/>
      <c r="WZZ266" s="651"/>
      <c r="XAA266" s="691"/>
      <c r="XAB266" s="651"/>
      <c r="XAC266" s="691"/>
      <c r="XAD266" s="651"/>
      <c r="XAE266" s="691"/>
      <c r="XAF266" s="651"/>
      <c r="XAG266" s="691"/>
      <c r="XAH266" s="651"/>
      <c r="XAI266" s="691"/>
      <c r="XAJ266" s="651"/>
      <c r="XAK266" s="691"/>
      <c r="XAL266" s="651"/>
      <c r="XAM266" s="691"/>
      <c r="XAN266" s="651"/>
      <c r="XAO266" s="691"/>
      <c r="XAP266" s="651"/>
      <c r="XAQ266" s="691"/>
      <c r="XAR266" s="651"/>
      <c r="XAS266" s="691"/>
      <c r="XAT266" s="651"/>
      <c r="XAU266" s="691"/>
      <c r="XAV266" s="651"/>
      <c r="XAW266" s="691"/>
      <c r="XAX266" s="651"/>
      <c r="XAY266" s="691"/>
      <c r="XAZ266" s="651"/>
      <c r="XBA266" s="691"/>
      <c r="XBB266" s="651"/>
      <c r="XBC266" s="691"/>
      <c r="XBD266" s="651"/>
      <c r="XBE266" s="691"/>
      <c r="XBF266" s="651"/>
      <c r="XBG266" s="691"/>
      <c r="XBH266" s="651"/>
      <c r="XBI266" s="691"/>
      <c r="XBJ266" s="651"/>
      <c r="XBK266" s="691"/>
      <c r="XBL266" s="651"/>
      <c r="XBM266" s="691"/>
      <c r="XBN266" s="651"/>
      <c r="XBO266" s="691"/>
      <c r="XBP266" s="651"/>
      <c r="XBQ266" s="691"/>
      <c r="XBR266" s="651"/>
      <c r="XBS266" s="691"/>
      <c r="XBT266" s="651"/>
      <c r="XBU266" s="691"/>
      <c r="XBV266" s="651"/>
      <c r="XBW266" s="691"/>
      <c r="XBX266" s="651"/>
      <c r="XBY266" s="691"/>
      <c r="XBZ266" s="651"/>
      <c r="XCA266" s="691"/>
      <c r="XCB266" s="651"/>
      <c r="XCC266" s="691"/>
      <c r="XCD266" s="651"/>
      <c r="XCE266" s="691"/>
      <c r="XCF266" s="651"/>
      <c r="XCG266" s="691"/>
      <c r="XCH266" s="651"/>
      <c r="XCI266" s="691"/>
      <c r="XCJ266" s="651"/>
      <c r="XCK266" s="691"/>
      <c r="XCL266" s="651"/>
      <c r="XCM266" s="691"/>
      <c r="XCN266" s="651"/>
      <c r="XCO266" s="691"/>
      <c r="XCP266" s="651"/>
      <c r="XCQ266" s="691"/>
      <c r="XCR266" s="651"/>
      <c r="XCS266" s="691"/>
      <c r="XCT266" s="651"/>
      <c r="XCU266" s="691"/>
      <c r="XCV266" s="651"/>
      <c r="XCW266" s="691"/>
      <c r="XCX266" s="651"/>
      <c r="XCY266" s="691"/>
      <c r="XCZ266" s="651"/>
      <c r="XDA266" s="691"/>
      <c r="XDB266" s="651"/>
      <c r="XDC266" s="691"/>
      <c r="XDD266" s="651"/>
      <c r="XDE266" s="691"/>
      <c r="XDF266" s="651"/>
      <c r="XDG266" s="691"/>
      <c r="XDH266" s="651"/>
      <c r="XDI266" s="691"/>
      <c r="XDJ266" s="651"/>
      <c r="XDK266" s="691"/>
      <c r="XDL266" s="651"/>
      <c r="XDM266" s="691"/>
      <c r="XDN266" s="651"/>
      <c r="XDO266" s="691"/>
      <c r="XDP266" s="651"/>
      <c r="XDQ266" s="691"/>
      <c r="XDR266" s="651"/>
      <c r="XDS266" s="691"/>
      <c r="XDT266" s="651"/>
      <c r="XDU266" s="691"/>
      <c r="XDV266" s="651"/>
      <c r="XDW266" s="691"/>
      <c r="XDX266" s="651"/>
      <c r="XDY266" s="691"/>
      <c r="XDZ266" s="651"/>
      <c r="XEA266" s="691"/>
      <c r="XEB266" s="651"/>
      <c r="XEC266" s="691"/>
      <c r="XED266" s="651"/>
      <c r="XEE266" s="691"/>
      <c r="XEF266" s="651"/>
      <c r="XEG266" s="691"/>
      <c r="XEH266" s="651"/>
      <c r="XEI266" s="691"/>
      <c r="XEJ266" s="651"/>
      <c r="XEK266" s="691"/>
      <c r="XEL266" s="651"/>
      <c r="XEM266" s="691"/>
      <c r="XEN266" s="651"/>
      <c r="XEO266" s="691"/>
      <c r="XEP266" s="651"/>
      <c r="XEQ266" s="691"/>
      <c r="XER266" s="651"/>
      <c r="XES266" s="691"/>
      <c r="XET266" s="651"/>
      <c r="XEU266" s="691"/>
      <c r="XEV266" s="651"/>
      <c r="XEW266" s="691"/>
      <c r="XEX266" s="651"/>
      <c r="XEY266" s="691"/>
      <c r="XEZ266" s="651"/>
      <c r="XFA266" s="691"/>
      <c r="XFB266" s="651"/>
      <c r="XFC266" s="691"/>
      <c r="XFD266" s="651"/>
    </row>
    <row r="267" s="625" customFormat="1" ht="33.75" spans="1:16384">
      <c r="A267" s="691" t="s">
        <v>436</v>
      </c>
      <c r="B267" s="651" t="s">
        <v>437</v>
      </c>
      <c r="C267" s="751" t="s">
        <v>438</v>
      </c>
      <c r="D267" s="651" t="s">
        <v>20</v>
      </c>
      <c r="E267" s="432">
        <v>1</v>
      </c>
      <c r="F267" s="670">
        <v>1135.09</v>
      </c>
      <c r="G267" s="432">
        <f t="shared" si="35"/>
        <v>1135.09</v>
      </c>
      <c r="O267" s="625" t="s">
        <v>439</v>
      </c>
      <c r="BB267" s="651"/>
      <c r="BC267" s="691"/>
      <c r="BD267" s="651"/>
      <c r="BE267" s="691"/>
      <c r="BF267" s="651"/>
      <c r="BG267" s="691"/>
      <c r="BH267" s="651"/>
      <c r="BI267" s="691"/>
      <c r="BJ267" s="651"/>
      <c r="BK267" s="691"/>
      <c r="BL267" s="651"/>
      <c r="BM267" s="691"/>
      <c r="BN267" s="651"/>
      <c r="BO267" s="691"/>
      <c r="BP267" s="651"/>
      <c r="BQ267" s="691"/>
      <c r="BR267" s="651"/>
      <c r="BS267" s="691"/>
      <c r="BT267" s="651"/>
      <c r="BU267" s="691"/>
      <c r="BV267" s="651"/>
      <c r="BW267" s="691"/>
      <c r="BX267" s="651"/>
      <c r="BY267" s="691"/>
      <c r="BZ267" s="651"/>
      <c r="CA267" s="691"/>
      <c r="CB267" s="651"/>
      <c r="CC267" s="691"/>
      <c r="CD267" s="651"/>
      <c r="CE267" s="691"/>
      <c r="CF267" s="651"/>
      <c r="CG267" s="691"/>
      <c r="CH267" s="651"/>
      <c r="CI267" s="691"/>
      <c r="CJ267" s="651"/>
      <c r="CK267" s="691"/>
      <c r="CL267" s="651"/>
      <c r="CM267" s="691"/>
      <c r="CN267" s="651"/>
      <c r="CO267" s="691"/>
      <c r="CP267" s="651"/>
      <c r="CQ267" s="691"/>
      <c r="CR267" s="651"/>
      <c r="CS267" s="691"/>
      <c r="CT267" s="651"/>
      <c r="CU267" s="691"/>
      <c r="CV267" s="651"/>
      <c r="CW267" s="691"/>
      <c r="CX267" s="651"/>
      <c r="CY267" s="691"/>
      <c r="CZ267" s="651"/>
      <c r="DA267" s="691"/>
      <c r="DB267" s="651"/>
      <c r="DC267" s="691"/>
      <c r="DD267" s="651"/>
      <c r="DE267" s="691"/>
      <c r="DF267" s="651"/>
      <c r="DG267" s="691"/>
      <c r="DH267" s="651"/>
      <c r="DI267" s="691"/>
      <c r="DJ267" s="651"/>
      <c r="DK267" s="691"/>
      <c r="DL267" s="651"/>
      <c r="DM267" s="691"/>
      <c r="DN267" s="651"/>
      <c r="DO267" s="691"/>
      <c r="DP267" s="651"/>
      <c r="DQ267" s="691"/>
      <c r="DR267" s="651"/>
      <c r="DS267" s="691"/>
      <c r="DT267" s="651"/>
      <c r="DU267" s="691"/>
      <c r="DV267" s="651"/>
      <c r="DW267" s="691"/>
      <c r="DX267" s="651"/>
      <c r="DY267" s="691"/>
      <c r="DZ267" s="651"/>
      <c r="EA267" s="691"/>
      <c r="EB267" s="651"/>
      <c r="EC267" s="691"/>
      <c r="ED267" s="651"/>
      <c r="EE267" s="691"/>
      <c r="EF267" s="651"/>
      <c r="EG267" s="691"/>
      <c r="EH267" s="651"/>
      <c r="EI267" s="691"/>
      <c r="EJ267" s="651"/>
      <c r="EK267" s="691"/>
      <c r="EL267" s="651"/>
      <c r="EM267" s="691"/>
      <c r="EN267" s="651"/>
      <c r="EO267" s="691"/>
      <c r="EP267" s="651"/>
      <c r="EQ267" s="691"/>
      <c r="ER267" s="651"/>
      <c r="ES267" s="691"/>
      <c r="ET267" s="651"/>
      <c r="EU267" s="691"/>
      <c r="EV267" s="651"/>
      <c r="EW267" s="691"/>
      <c r="EX267" s="651"/>
      <c r="EY267" s="691"/>
      <c r="EZ267" s="651"/>
      <c r="FA267" s="691"/>
      <c r="FB267" s="651"/>
      <c r="FC267" s="691"/>
      <c r="FD267" s="651"/>
      <c r="FE267" s="691"/>
      <c r="FF267" s="651"/>
      <c r="FG267" s="691"/>
      <c r="FH267" s="651"/>
      <c r="FI267" s="691"/>
      <c r="FJ267" s="651"/>
      <c r="FK267" s="691"/>
      <c r="FL267" s="651"/>
      <c r="FM267" s="691"/>
      <c r="FN267" s="651"/>
      <c r="FO267" s="691"/>
      <c r="FP267" s="651"/>
      <c r="FQ267" s="691"/>
      <c r="FR267" s="651"/>
      <c r="FS267" s="691"/>
      <c r="FT267" s="651"/>
      <c r="FU267" s="691"/>
      <c r="FV267" s="651"/>
      <c r="FW267" s="691"/>
      <c r="FX267" s="651"/>
      <c r="FY267" s="691"/>
      <c r="FZ267" s="651"/>
      <c r="GA267" s="691"/>
      <c r="GB267" s="651"/>
      <c r="GC267" s="691"/>
      <c r="GD267" s="651"/>
      <c r="GE267" s="691"/>
      <c r="GF267" s="651"/>
      <c r="GG267" s="691"/>
      <c r="GH267" s="651"/>
      <c r="GI267" s="691"/>
      <c r="GJ267" s="651"/>
      <c r="GK267" s="691"/>
      <c r="GL267" s="651"/>
      <c r="GM267" s="691"/>
      <c r="GN267" s="651"/>
      <c r="GO267" s="691"/>
      <c r="GP267" s="651"/>
      <c r="GQ267" s="691"/>
      <c r="GR267" s="651"/>
      <c r="GS267" s="691"/>
      <c r="GT267" s="651"/>
      <c r="GU267" s="691"/>
      <c r="GV267" s="651"/>
      <c r="GW267" s="691"/>
      <c r="GX267" s="651"/>
      <c r="GY267" s="691"/>
      <c r="GZ267" s="651"/>
      <c r="HA267" s="691"/>
      <c r="HB267" s="651"/>
      <c r="HC267" s="691"/>
      <c r="HD267" s="651"/>
      <c r="HE267" s="691"/>
      <c r="HF267" s="651"/>
      <c r="HG267" s="691"/>
      <c r="HH267" s="651"/>
      <c r="HI267" s="691"/>
      <c r="HJ267" s="651"/>
      <c r="HK267" s="691"/>
      <c r="HL267" s="651"/>
      <c r="HM267" s="691"/>
      <c r="HN267" s="651"/>
      <c r="HO267" s="691"/>
      <c r="HP267" s="651"/>
      <c r="HQ267" s="691"/>
      <c r="HR267" s="651"/>
      <c r="HS267" s="691"/>
      <c r="HT267" s="651"/>
      <c r="HU267" s="691"/>
      <c r="HV267" s="651"/>
      <c r="HW267" s="691"/>
      <c r="HX267" s="651"/>
      <c r="HY267" s="691"/>
      <c r="HZ267" s="651"/>
      <c r="IA267" s="691"/>
      <c r="IB267" s="651"/>
      <c r="IC267" s="691"/>
      <c r="ID267" s="651"/>
      <c r="IE267" s="691"/>
      <c r="IF267" s="651"/>
      <c r="IG267" s="691"/>
      <c r="IH267" s="651"/>
      <c r="II267" s="691"/>
      <c r="IJ267" s="651"/>
      <c r="IK267" s="691"/>
      <c r="IL267" s="651"/>
      <c r="IM267" s="691"/>
      <c r="IN267" s="651"/>
      <c r="IO267" s="691"/>
      <c r="IP267" s="651"/>
      <c r="IQ267" s="691"/>
      <c r="IR267" s="651"/>
      <c r="IS267" s="691"/>
      <c r="IT267" s="651"/>
      <c r="IU267" s="691"/>
      <c r="IV267" s="651"/>
      <c r="IW267" s="691"/>
      <c r="IX267" s="651"/>
      <c r="IY267" s="691"/>
      <c r="IZ267" s="651"/>
      <c r="JA267" s="691"/>
      <c r="JB267" s="651"/>
      <c r="JC267" s="691"/>
      <c r="JD267" s="651"/>
      <c r="JE267" s="691"/>
      <c r="JF267" s="651"/>
      <c r="JG267" s="691"/>
      <c r="JH267" s="651"/>
      <c r="JI267" s="691"/>
      <c r="JJ267" s="651"/>
      <c r="JK267" s="691"/>
      <c r="JL267" s="651"/>
      <c r="JM267" s="691"/>
      <c r="JN267" s="651"/>
      <c r="JO267" s="691"/>
      <c r="JP267" s="651"/>
      <c r="JQ267" s="691"/>
      <c r="JR267" s="651"/>
      <c r="JS267" s="691"/>
      <c r="JT267" s="651"/>
      <c r="JU267" s="691"/>
      <c r="JV267" s="651"/>
      <c r="JW267" s="691"/>
      <c r="JX267" s="651"/>
      <c r="JY267" s="691"/>
      <c r="JZ267" s="651"/>
      <c r="KA267" s="691"/>
      <c r="KB267" s="651"/>
      <c r="KC267" s="691"/>
      <c r="KD267" s="651"/>
      <c r="KE267" s="691"/>
      <c r="KF267" s="651"/>
      <c r="KG267" s="691"/>
      <c r="KH267" s="651"/>
      <c r="KI267" s="691"/>
      <c r="KJ267" s="651"/>
      <c r="KK267" s="691"/>
      <c r="KL267" s="651"/>
      <c r="KM267" s="691"/>
      <c r="KN267" s="651"/>
      <c r="KO267" s="691"/>
      <c r="KP267" s="651"/>
      <c r="KQ267" s="691"/>
      <c r="KR267" s="651"/>
      <c r="KS267" s="691"/>
      <c r="KT267" s="651"/>
      <c r="KU267" s="691"/>
      <c r="KV267" s="651"/>
      <c r="KW267" s="691"/>
      <c r="KX267" s="651"/>
      <c r="KY267" s="691"/>
      <c r="KZ267" s="651"/>
      <c r="LA267" s="691"/>
      <c r="LB267" s="651"/>
      <c r="LC267" s="691"/>
      <c r="LD267" s="651"/>
      <c r="LE267" s="691"/>
      <c r="LF267" s="651"/>
      <c r="LG267" s="691"/>
      <c r="LH267" s="651"/>
      <c r="LI267" s="691"/>
      <c r="LJ267" s="651"/>
      <c r="LK267" s="691"/>
      <c r="LL267" s="651"/>
      <c r="LM267" s="691"/>
      <c r="LN267" s="651"/>
      <c r="LO267" s="691"/>
      <c r="LP267" s="651"/>
      <c r="LQ267" s="691"/>
      <c r="LR267" s="651"/>
      <c r="LS267" s="691"/>
      <c r="LT267" s="651"/>
      <c r="LU267" s="691"/>
      <c r="LV267" s="651"/>
      <c r="LW267" s="691"/>
      <c r="LX267" s="651"/>
      <c r="LY267" s="691"/>
      <c r="LZ267" s="651"/>
      <c r="MA267" s="691"/>
      <c r="MB267" s="651"/>
      <c r="MC267" s="691"/>
      <c r="MD267" s="651"/>
      <c r="ME267" s="691"/>
      <c r="MF267" s="651"/>
      <c r="MG267" s="691"/>
      <c r="MH267" s="651"/>
      <c r="MI267" s="691"/>
      <c r="MJ267" s="651"/>
      <c r="MK267" s="691"/>
      <c r="ML267" s="651"/>
      <c r="MM267" s="691"/>
      <c r="MN267" s="651"/>
      <c r="MO267" s="691"/>
      <c r="MP267" s="651"/>
      <c r="MQ267" s="691"/>
      <c r="MR267" s="651"/>
      <c r="MS267" s="691"/>
      <c r="MT267" s="651"/>
      <c r="MU267" s="691"/>
      <c r="MV267" s="651"/>
      <c r="MW267" s="691"/>
      <c r="MX267" s="651"/>
      <c r="MY267" s="691"/>
      <c r="MZ267" s="651"/>
      <c r="NA267" s="691"/>
      <c r="NB267" s="651"/>
      <c r="NC267" s="691"/>
      <c r="ND267" s="651"/>
      <c r="NE267" s="691"/>
      <c r="NF267" s="651"/>
      <c r="NG267" s="691"/>
      <c r="NH267" s="651"/>
      <c r="NI267" s="691"/>
      <c r="NJ267" s="651"/>
      <c r="NK267" s="691"/>
      <c r="NL267" s="651"/>
      <c r="NM267" s="691"/>
      <c r="NN267" s="651"/>
      <c r="NO267" s="691"/>
      <c r="NP267" s="651"/>
      <c r="NQ267" s="691"/>
      <c r="NR267" s="651"/>
      <c r="NS267" s="691"/>
      <c r="NT267" s="651"/>
      <c r="NU267" s="691"/>
      <c r="NV267" s="651"/>
      <c r="NW267" s="691"/>
      <c r="NX267" s="651"/>
      <c r="NY267" s="691"/>
      <c r="NZ267" s="651"/>
      <c r="OA267" s="691"/>
      <c r="OB267" s="651"/>
      <c r="OC267" s="691"/>
      <c r="OD267" s="651"/>
      <c r="OE267" s="691"/>
      <c r="OF267" s="651"/>
      <c r="OG267" s="691"/>
      <c r="OH267" s="651"/>
      <c r="OI267" s="691"/>
      <c r="OJ267" s="651"/>
      <c r="OK267" s="691"/>
      <c r="OL267" s="651"/>
      <c r="OM267" s="691"/>
      <c r="ON267" s="651"/>
      <c r="OO267" s="691"/>
      <c r="OP267" s="651"/>
      <c r="OQ267" s="691"/>
      <c r="OR267" s="651"/>
      <c r="OS267" s="691"/>
      <c r="OT267" s="651"/>
      <c r="OU267" s="691"/>
      <c r="OV267" s="651"/>
      <c r="OW267" s="691"/>
      <c r="OX267" s="651"/>
      <c r="OY267" s="691"/>
      <c r="OZ267" s="651"/>
      <c r="PA267" s="691"/>
      <c r="PB267" s="651"/>
      <c r="PC267" s="691"/>
      <c r="PD267" s="651"/>
      <c r="PE267" s="691"/>
      <c r="PF267" s="651"/>
      <c r="PG267" s="691"/>
      <c r="PH267" s="651"/>
      <c r="PI267" s="691"/>
      <c r="PJ267" s="651"/>
      <c r="PK267" s="691"/>
      <c r="PL267" s="651"/>
      <c r="PM267" s="691"/>
      <c r="PN267" s="651"/>
      <c r="PO267" s="691"/>
      <c r="PP267" s="651"/>
      <c r="PQ267" s="691"/>
      <c r="PR267" s="651"/>
      <c r="PS267" s="691"/>
      <c r="PT267" s="651"/>
      <c r="PU267" s="691"/>
      <c r="PV267" s="651"/>
      <c r="PW267" s="691"/>
      <c r="PX267" s="651"/>
      <c r="PY267" s="691"/>
      <c r="PZ267" s="651"/>
      <c r="QA267" s="691"/>
      <c r="QB267" s="651"/>
      <c r="QC267" s="691"/>
      <c r="QD267" s="651"/>
      <c r="QE267" s="691"/>
      <c r="QF267" s="651"/>
      <c r="QG267" s="691"/>
      <c r="QH267" s="651"/>
      <c r="QI267" s="691"/>
      <c r="QJ267" s="651"/>
      <c r="QK267" s="691"/>
      <c r="QL267" s="651"/>
      <c r="QM267" s="691"/>
      <c r="QN267" s="651"/>
      <c r="QO267" s="691"/>
      <c r="QP267" s="651"/>
      <c r="QQ267" s="691"/>
      <c r="QR267" s="651"/>
      <c r="QS267" s="691"/>
      <c r="QT267" s="651"/>
      <c r="QU267" s="691"/>
      <c r="QV267" s="651"/>
      <c r="QW267" s="691"/>
      <c r="QX267" s="651"/>
      <c r="QY267" s="691"/>
      <c r="QZ267" s="651"/>
      <c r="RA267" s="691"/>
      <c r="RB267" s="651"/>
      <c r="RC267" s="691"/>
      <c r="RD267" s="651"/>
      <c r="RE267" s="691"/>
      <c r="RF267" s="651"/>
      <c r="RG267" s="691"/>
      <c r="RH267" s="651"/>
      <c r="RI267" s="691"/>
      <c r="RJ267" s="651"/>
      <c r="RK267" s="691"/>
      <c r="RL267" s="651"/>
      <c r="RM267" s="691"/>
      <c r="RN267" s="651"/>
      <c r="RO267" s="691"/>
      <c r="RP267" s="651"/>
      <c r="RQ267" s="691"/>
      <c r="RR267" s="651"/>
      <c r="RS267" s="691"/>
      <c r="RT267" s="651"/>
      <c r="RU267" s="691"/>
      <c r="RV267" s="651"/>
      <c r="RW267" s="691"/>
      <c r="RX267" s="651"/>
      <c r="RY267" s="691"/>
      <c r="RZ267" s="651"/>
      <c r="SA267" s="691"/>
      <c r="SB267" s="651"/>
      <c r="SC267" s="691"/>
      <c r="SD267" s="651"/>
      <c r="SE267" s="691"/>
      <c r="SF267" s="651"/>
      <c r="SG267" s="691"/>
      <c r="SH267" s="651"/>
      <c r="SI267" s="691"/>
      <c r="SJ267" s="651"/>
      <c r="SK267" s="691"/>
      <c r="SL267" s="651"/>
      <c r="SM267" s="691"/>
      <c r="SN267" s="651"/>
      <c r="SO267" s="691"/>
      <c r="SP267" s="651"/>
      <c r="SQ267" s="691"/>
      <c r="SR267" s="651"/>
      <c r="SS267" s="691"/>
      <c r="ST267" s="651"/>
      <c r="SU267" s="691"/>
      <c r="SV267" s="651"/>
      <c r="SW267" s="691"/>
      <c r="SX267" s="651"/>
      <c r="SY267" s="691"/>
      <c r="SZ267" s="651"/>
      <c r="TA267" s="691"/>
      <c r="TB267" s="651"/>
      <c r="TC267" s="691"/>
      <c r="TD267" s="651"/>
      <c r="TE267" s="691"/>
      <c r="TF267" s="651"/>
      <c r="TG267" s="691"/>
      <c r="TH267" s="651"/>
      <c r="TI267" s="691"/>
      <c r="TJ267" s="651"/>
      <c r="TK267" s="691"/>
      <c r="TL267" s="651"/>
      <c r="TM267" s="691"/>
      <c r="TN267" s="651"/>
      <c r="TO267" s="691"/>
      <c r="TP267" s="651"/>
      <c r="TQ267" s="691"/>
      <c r="TR267" s="651"/>
      <c r="TS267" s="691"/>
      <c r="TT267" s="651"/>
      <c r="TU267" s="691"/>
      <c r="TV267" s="651"/>
      <c r="TW267" s="691"/>
      <c r="TX267" s="651"/>
      <c r="TY267" s="691"/>
      <c r="TZ267" s="651"/>
      <c r="UA267" s="691"/>
      <c r="UB267" s="651"/>
      <c r="UC267" s="691"/>
      <c r="UD267" s="651"/>
      <c r="UE267" s="691"/>
      <c r="UF267" s="651"/>
      <c r="UG267" s="691"/>
      <c r="UH267" s="651"/>
      <c r="UI267" s="691"/>
      <c r="UJ267" s="651"/>
      <c r="UK267" s="691"/>
      <c r="UL267" s="651"/>
      <c r="UM267" s="691"/>
      <c r="UN267" s="651"/>
      <c r="UO267" s="691"/>
      <c r="UP267" s="651"/>
      <c r="UQ267" s="691"/>
      <c r="UR267" s="651"/>
      <c r="US267" s="691"/>
      <c r="UT267" s="651"/>
      <c r="UU267" s="691"/>
      <c r="UV267" s="651"/>
      <c r="UW267" s="691"/>
      <c r="UX267" s="651"/>
      <c r="UY267" s="691"/>
      <c r="UZ267" s="651"/>
      <c r="VA267" s="691"/>
      <c r="VB267" s="651"/>
      <c r="VC267" s="691"/>
      <c r="VD267" s="651"/>
      <c r="VE267" s="691"/>
      <c r="VF267" s="651"/>
      <c r="VG267" s="691"/>
      <c r="VH267" s="651"/>
      <c r="VI267" s="691"/>
      <c r="VJ267" s="651"/>
      <c r="VK267" s="691"/>
      <c r="VL267" s="651"/>
      <c r="VM267" s="691"/>
      <c r="VN267" s="651"/>
      <c r="VO267" s="691"/>
      <c r="VP267" s="651"/>
      <c r="VQ267" s="691"/>
      <c r="VR267" s="651"/>
      <c r="VS267" s="691"/>
      <c r="VT267" s="651"/>
      <c r="VU267" s="691"/>
      <c r="VV267" s="651"/>
      <c r="VW267" s="691"/>
      <c r="VX267" s="651"/>
      <c r="VY267" s="691"/>
      <c r="VZ267" s="651"/>
      <c r="WA267" s="691"/>
      <c r="WB267" s="651"/>
      <c r="WC267" s="691"/>
      <c r="WD267" s="651"/>
      <c r="WE267" s="691"/>
      <c r="WF267" s="651"/>
      <c r="WG267" s="691"/>
      <c r="WH267" s="651"/>
      <c r="WI267" s="691"/>
      <c r="WJ267" s="651"/>
      <c r="WK267" s="691"/>
      <c r="WL267" s="651"/>
      <c r="WM267" s="691"/>
      <c r="WN267" s="651"/>
      <c r="WO267" s="691"/>
      <c r="WP267" s="651"/>
      <c r="WQ267" s="691"/>
      <c r="WR267" s="651"/>
      <c r="WS267" s="691"/>
      <c r="WT267" s="651"/>
      <c r="WU267" s="691"/>
      <c r="WV267" s="651"/>
      <c r="WW267" s="691"/>
      <c r="WX267" s="651"/>
      <c r="WY267" s="691"/>
      <c r="WZ267" s="651"/>
      <c r="XA267" s="691"/>
      <c r="XB267" s="651"/>
      <c r="XC267" s="691"/>
      <c r="XD267" s="651"/>
      <c r="XE267" s="691"/>
      <c r="XF267" s="651"/>
      <c r="XG267" s="691"/>
      <c r="XH267" s="651"/>
      <c r="XI267" s="691"/>
      <c r="XJ267" s="651"/>
      <c r="XK267" s="691"/>
      <c r="XL267" s="651"/>
      <c r="XM267" s="691"/>
      <c r="XN267" s="651"/>
      <c r="XO267" s="691"/>
      <c r="XP267" s="651"/>
      <c r="XQ267" s="691"/>
      <c r="XR267" s="651"/>
      <c r="XS267" s="691"/>
      <c r="XT267" s="651"/>
      <c r="XU267" s="691"/>
      <c r="XV267" s="651"/>
      <c r="XW267" s="691"/>
      <c r="XX267" s="651"/>
      <c r="XY267" s="691"/>
      <c r="XZ267" s="651"/>
      <c r="YA267" s="691"/>
      <c r="YB267" s="651"/>
      <c r="YC267" s="691"/>
      <c r="YD267" s="651"/>
      <c r="YE267" s="691"/>
      <c r="YF267" s="651"/>
      <c r="YG267" s="691"/>
      <c r="YH267" s="651"/>
      <c r="YI267" s="691"/>
      <c r="YJ267" s="651"/>
      <c r="YK267" s="691"/>
      <c r="YL267" s="651"/>
      <c r="YM267" s="691"/>
      <c r="YN267" s="651"/>
      <c r="YO267" s="691"/>
      <c r="YP267" s="651"/>
      <c r="YQ267" s="691"/>
      <c r="YR267" s="651"/>
      <c r="YS267" s="691"/>
      <c r="YT267" s="651"/>
      <c r="YU267" s="691"/>
      <c r="YV267" s="651"/>
      <c r="YW267" s="691"/>
      <c r="YX267" s="651"/>
      <c r="YY267" s="691"/>
      <c r="YZ267" s="651"/>
      <c r="ZA267" s="691"/>
      <c r="ZB267" s="651"/>
      <c r="ZC267" s="691"/>
      <c r="ZD267" s="651"/>
      <c r="ZE267" s="691"/>
      <c r="ZF267" s="651"/>
      <c r="ZG267" s="691"/>
      <c r="ZH267" s="651"/>
      <c r="ZI267" s="691"/>
      <c r="ZJ267" s="651"/>
      <c r="ZK267" s="691"/>
      <c r="ZL267" s="651"/>
      <c r="ZM267" s="691"/>
      <c r="ZN267" s="651"/>
      <c r="ZO267" s="691"/>
      <c r="ZP267" s="651"/>
      <c r="ZQ267" s="691"/>
      <c r="ZR267" s="651"/>
      <c r="ZS267" s="691"/>
      <c r="ZT267" s="651"/>
      <c r="ZU267" s="691"/>
      <c r="ZV267" s="651"/>
      <c r="ZW267" s="691"/>
      <c r="ZX267" s="651"/>
      <c r="ZY267" s="691"/>
      <c r="ZZ267" s="651"/>
      <c r="AAA267" s="691"/>
      <c r="AAB267" s="651"/>
      <c r="AAC267" s="691"/>
      <c r="AAD267" s="651"/>
      <c r="AAE267" s="691"/>
      <c r="AAF267" s="651"/>
      <c r="AAG267" s="691"/>
      <c r="AAH267" s="651"/>
      <c r="AAI267" s="691"/>
      <c r="AAJ267" s="651"/>
      <c r="AAK267" s="691"/>
      <c r="AAL267" s="651"/>
      <c r="AAM267" s="691"/>
      <c r="AAN267" s="651"/>
      <c r="AAO267" s="691"/>
      <c r="AAP267" s="651"/>
      <c r="AAQ267" s="691"/>
      <c r="AAR267" s="651"/>
      <c r="AAS267" s="691"/>
      <c r="AAT267" s="651"/>
      <c r="AAU267" s="691"/>
      <c r="AAV267" s="651"/>
      <c r="AAW267" s="691"/>
      <c r="AAX267" s="651"/>
      <c r="AAY267" s="691"/>
      <c r="AAZ267" s="651"/>
      <c r="ABA267" s="691"/>
      <c r="ABB267" s="651"/>
      <c r="ABC267" s="691"/>
      <c r="ABD267" s="651"/>
      <c r="ABE267" s="691"/>
      <c r="ABF267" s="651"/>
      <c r="ABG267" s="691"/>
      <c r="ABH267" s="651"/>
      <c r="ABI267" s="691"/>
      <c r="ABJ267" s="651"/>
      <c r="ABK267" s="691"/>
      <c r="ABL267" s="651"/>
      <c r="ABM267" s="691"/>
      <c r="ABN267" s="651"/>
      <c r="ABO267" s="691"/>
      <c r="ABP267" s="651"/>
      <c r="ABQ267" s="691"/>
      <c r="ABR267" s="651"/>
      <c r="ABS267" s="691"/>
      <c r="ABT267" s="651"/>
      <c r="ABU267" s="691"/>
      <c r="ABV267" s="651"/>
      <c r="ABW267" s="691"/>
      <c r="ABX267" s="651"/>
      <c r="ABY267" s="691"/>
      <c r="ABZ267" s="651"/>
      <c r="ACA267" s="691"/>
      <c r="ACB267" s="651"/>
      <c r="ACC267" s="691"/>
      <c r="ACD267" s="651"/>
      <c r="ACE267" s="691"/>
      <c r="ACF267" s="651"/>
      <c r="ACG267" s="691"/>
      <c r="ACH267" s="651"/>
      <c r="ACI267" s="691"/>
      <c r="ACJ267" s="651"/>
      <c r="ACK267" s="691"/>
      <c r="ACL267" s="651"/>
      <c r="ACM267" s="691"/>
      <c r="ACN267" s="651"/>
      <c r="ACO267" s="691"/>
      <c r="ACP267" s="651"/>
      <c r="ACQ267" s="691"/>
      <c r="ACR267" s="651"/>
      <c r="ACS267" s="691"/>
      <c r="ACT267" s="651"/>
      <c r="ACU267" s="691"/>
      <c r="ACV267" s="651"/>
      <c r="ACW267" s="691"/>
      <c r="ACX267" s="651"/>
      <c r="ACY267" s="691"/>
      <c r="ACZ267" s="651"/>
      <c r="ADA267" s="691"/>
      <c r="ADB267" s="651"/>
      <c r="ADC267" s="691"/>
      <c r="ADD267" s="651"/>
      <c r="ADE267" s="691"/>
      <c r="ADF267" s="651"/>
      <c r="ADG267" s="691"/>
      <c r="ADH267" s="651"/>
      <c r="ADI267" s="691"/>
      <c r="ADJ267" s="651"/>
      <c r="ADK267" s="691"/>
      <c r="ADL267" s="651"/>
      <c r="ADM267" s="691"/>
      <c r="ADN267" s="651"/>
      <c r="ADO267" s="691"/>
      <c r="ADP267" s="651"/>
      <c r="ADQ267" s="691"/>
      <c r="ADR267" s="651"/>
      <c r="ADS267" s="691"/>
      <c r="ADT267" s="651"/>
      <c r="ADU267" s="691"/>
      <c r="ADV267" s="651"/>
      <c r="ADW267" s="691"/>
      <c r="ADX267" s="651"/>
      <c r="ADY267" s="691"/>
      <c r="ADZ267" s="651"/>
      <c r="AEA267" s="691"/>
      <c r="AEB267" s="651"/>
      <c r="AEC267" s="691"/>
      <c r="AED267" s="651"/>
      <c r="AEE267" s="691"/>
      <c r="AEF267" s="651"/>
      <c r="AEG267" s="691"/>
      <c r="AEH267" s="651"/>
      <c r="AEI267" s="691"/>
      <c r="AEJ267" s="651"/>
      <c r="AEK267" s="691"/>
      <c r="AEL267" s="651"/>
      <c r="AEM267" s="691"/>
      <c r="AEN267" s="651"/>
      <c r="AEO267" s="691"/>
      <c r="AEP267" s="651"/>
      <c r="AEQ267" s="691"/>
      <c r="AER267" s="651"/>
      <c r="AES267" s="691"/>
      <c r="AET267" s="651"/>
      <c r="AEU267" s="691"/>
      <c r="AEV267" s="651"/>
      <c r="AEW267" s="691"/>
      <c r="AEX267" s="651"/>
      <c r="AEY267" s="691"/>
      <c r="AEZ267" s="651"/>
      <c r="AFA267" s="691"/>
      <c r="AFB267" s="651"/>
      <c r="AFC267" s="691"/>
      <c r="AFD267" s="651"/>
      <c r="AFE267" s="691"/>
      <c r="AFF267" s="651"/>
      <c r="AFG267" s="691"/>
      <c r="AFH267" s="651"/>
      <c r="AFI267" s="691"/>
      <c r="AFJ267" s="651"/>
      <c r="AFK267" s="691"/>
      <c r="AFL267" s="651"/>
      <c r="AFM267" s="691"/>
      <c r="AFN267" s="651"/>
      <c r="AFO267" s="691"/>
      <c r="AFP267" s="651"/>
      <c r="AFQ267" s="691"/>
      <c r="AFR267" s="651"/>
      <c r="AFS267" s="691"/>
      <c r="AFT267" s="651"/>
      <c r="AFU267" s="691"/>
      <c r="AFV267" s="651"/>
      <c r="AFW267" s="691"/>
      <c r="AFX267" s="651"/>
      <c r="AFY267" s="691"/>
      <c r="AFZ267" s="651"/>
      <c r="AGA267" s="691"/>
      <c r="AGB267" s="651"/>
      <c r="AGC267" s="691"/>
      <c r="AGD267" s="651"/>
      <c r="AGE267" s="691"/>
      <c r="AGF267" s="651"/>
      <c r="AGG267" s="691"/>
      <c r="AGH267" s="651"/>
      <c r="AGI267" s="691"/>
      <c r="AGJ267" s="651"/>
      <c r="AGK267" s="691"/>
      <c r="AGL267" s="651"/>
      <c r="AGM267" s="691"/>
      <c r="AGN267" s="651"/>
      <c r="AGO267" s="691"/>
      <c r="AGP267" s="651"/>
      <c r="AGQ267" s="691"/>
      <c r="AGR267" s="651"/>
      <c r="AGS267" s="691"/>
      <c r="AGT267" s="651"/>
      <c r="AGU267" s="691"/>
      <c r="AGV267" s="651"/>
      <c r="AGW267" s="691"/>
      <c r="AGX267" s="651"/>
      <c r="AGY267" s="691"/>
      <c r="AGZ267" s="651"/>
      <c r="AHA267" s="691"/>
      <c r="AHB267" s="651"/>
      <c r="AHC267" s="691"/>
      <c r="AHD267" s="651"/>
      <c r="AHE267" s="691"/>
      <c r="AHF267" s="651"/>
      <c r="AHG267" s="691"/>
      <c r="AHH267" s="651"/>
      <c r="AHI267" s="691"/>
      <c r="AHJ267" s="651"/>
      <c r="AHK267" s="691"/>
      <c r="AHL267" s="651"/>
      <c r="AHM267" s="691"/>
      <c r="AHN267" s="651"/>
      <c r="AHO267" s="691"/>
      <c r="AHP267" s="651"/>
      <c r="AHQ267" s="691"/>
      <c r="AHR267" s="651"/>
      <c r="AHS267" s="691"/>
      <c r="AHT267" s="651"/>
      <c r="AHU267" s="691"/>
      <c r="AHV267" s="651"/>
      <c r="AHW267" s="691"/>
      <c r="AHX267" s="651"/>
      <c r="AHY267" s="691"/>
      <c r="AHZ267" s="651"/>
      <c r="AIA267" s="691"/>
      <c r="AIB267" s="651"/>
      <c r="AIC267" s="691"/>
      <c r="AID267" s="651"/>
      <c r="AIE267" s="691"/>
      <c r="AIF267" s="651"/>
      <c r="AIG267" s="691"/>
      <c r="AIH267" s="651"/>
      <c r="AII267" s="691"/>
      <c r="AIJ267" s="651"/>
      <c r="AIK267" s="691"/>
      <c r="AIL267" s="651"/>
      <c r="AIM267" s="691"/>
      <c r="AIN267" s="651"/>
      <c r="AIO267" s="691"/>
      <c r="AIP267" s="651"/>
      <c r="AIQ267" s="691"/>
      <c r="AIR267" s="651"/>
      <c r="AIS267" s="691"/>
      <c r="AIT267" s="651"/>
      <c r="AIU267" s="691"/>
      <c r="AIV267" s="651"/>
      <c r="AIW267" s="691"/>
      <c r="AIX267" s="651"/>
      <c r="AIY267" s="691"/>
      <c r="AIZ267" s="651"/>
      <c r="AJA267" s="691"/>
      <c r="AJB267" s="651"/>
      <c r="AJC267" s="691"/>
      <c r="AJD267" s="651"/>
      <c r="AJE267" s="691"/>
      <c r="AJF267" s="651"/>
      <c r="AJG267" s="691"/>
      <c r="AJH267" s="651"/>
      <c r="AJI267" s="691"/>
      <c r="AJJ267" s="651"/>
      <c r="AJK267" s="691"/>
      <c r="AJL267" s="651"/>
      <c r="AJM267" s="691"/>
      <c r="AJN267" s="651"/>
      <c r="AJO267" s="691"/>
      <c r="AJP267" s="651"/>
      <c r="AJQ267" s="691"/>
      <c r="AJR267" s="651"/>
      <c r="AJS267" s="691"/>
      <c r="AJT267" s="651"/>
      <c r="AJU267" s="691"/>
      <c r="AJV267" s="651"/>
      <c r="AJW267" s="691"/>
      <c r="AJX267" s="651"/>
      <c r="AJY267" s="691"/>
      <c r="AJZ267" s="651"/>
      <c r="AKA267" s="691"/>
      <c r="AKB267" s="651"/>
      <c r="AKC267" s="691"/>
      <c r="AKD267" s="651"/>
      <c r="AKE267" s="691"/>
      <c r="AKF267" s="651"/>
      <c r="AKG267" s="691"/>
      <c r="AKH267" s="651"/>
      <c r="AKI267" s="691"/>
      <c r="AKJ267" s="651"/>
      <c r="AKK267" s="691"/>
      <c r="AKL267" s="651"/>
      <c r="AKM267" s="691"/>
      <c r="AKN267" s="651"/>
      <c r="AKO267" s="691"/>
      <c r="AKP267" s="651"/>
      <c r="AKQ267" s="691"/>
      <c r="AKR267" s="651"/>
      <c r="AKS267" s="691"/>
      <c r="AKT267" s="651"/>
      <c r="AKU267" s="691"/>
      <c r="AKV267" s="651"/>
      <c r="AKW267" s="691"/>
      <c r="AKX267" s="651"/>
      <c r="AKY267" s="691"/>
      <c r="AKZ267" s="651"/>
      <c r="ALA267" s="691"/>
      <c r="ALB267" s="651"/>
      <c r="ALC267" s="691"/>
      <c r="ALD267" s="651"/>
      <c r="ALE267" s="691"/>
      <c r="ALF267" s="651"/>
      <c r="ALG267" s="691"/>
      <c r="ALH267" s="651"/>
      <c r="ALI267" s="691"/>
      <c r="ALJ267" s="651"/>
      <c r="ALK267" s="691"/>
      <c r="ALL267" s="651"/>
      <c r="ALM267" s="691"/>
      <c r="ALN267" s="651"/>
      <c r="ALO267" s="691"/>
      <c r="ALP267" s="651"/>
      <c r="ALQ267" s="691"/>
      <c r="ALR267" s="651"/>
      <c r="ALS267" s="691"/>
      <c r="ALT267" s="651"/>
      <c r="ALU267" s="691"/>
      <c r="ALV267" s="651"/>
      <c r="ALW267" s="691"/>
      <c r="ALX267" s="651"/>
      <c r="ALY267" s="691"/>
      <c r="ALZ267" s="651"/>
      <c r="AMA267" s="691"/>
      <c r="AMB267" s="651"/>
      <c r="AMC267" s="691"/>
      <c r="AMD267" s="651"/>
      <c r="AME267" s="691"/>
      <c r="AMF267" s="651"/>
      <c r="AMG267" s="691"/>
      <c r="AMH267" s="651"/>
      <c r="AMI267" s="691"/>
      <c r="AMJ267" s="651"/>
      <c r="AMK267" s="691"/>
      <c r="AML267" s="651"/>
      <c r="AMM267" s="691"/>
      <c r="AMN267" s="651"/>
      <c r="AMO267" s="691"/>
      <c r="AMP267" s="651"/>
      <c r="AMQ267" s="691"/>
      <c r="AMR267" s="651"/>
      <c r="AMS267" s="691"/>
      <c r="AMT267" s="651"/>
      <c r="AMU267" s="691"/>
      <c r="AMV267" s="651"/>
      <c r="AMW267" s="691"/>
      <c r="AMX267" s="651"/>
      <c r="AMY267" s="691"/>
      <c r="AMZ267" s="651"/>
      <c r="ANA267" s="691"/>
      <c r="ANB267" s="651"/>
      <c r="ANC267" s="691"/>
      <c r="AND267" s="651"/>
      <c r="ANE267" s="691"/>
      <c r="ANF267" s="651"/>
      <c r="ANG267" s="691"/>
      <c r="ANH267" s="651"/>
      <c r="ANI267" s="691"/>
      <c r="ANJ267" s="651"/>
      <c r="ANK267" s="691"/>
      <c r="ANL267" s="651"/>
      <c r="ANM267" s="691"/>
      <c r="ANN267" s="651"/>
      <c r="ANO267" s="691"/>
      <c r="ANP267" s="651"/>
      <c r="ANQ267" s="691"/>
      <c r="ANR267" s="651"/>
      <c r="ANS267" s="691"/>
      <c r="ANT267" s="651"/>
      <c r="ANU267" s="691"/>
      <c r="ANV267" s="651"/>
      <c r="ANW267" s="691"/>
      <c r="ANX267" s="651"/>
      <c r="ANY267" s="691"/>
      <c r="ANZ267" s="651"/>
      <c r="AOA267" s="691"/>
      <c r="AOB267" s="651"/>
      <c r="AOC267" s="691"/>
      <c r="AOD267" s="651"/>
      <c r="AOE267" s="691"/>
      <c r="AOF267" s="651"/>
      <c r="AOG267" s="691"/>
      <c r="AOH267" s="651"/>
      <c r="AOI267" s="691"/>
      <c r="AOJ267" s="651"/>
      <c r="AOK267" s="691"/>
      <c r="AOL267" s="651"/>
      <c r="AOM267" s="691"/>
      <c r="AON267" s="651"/>
      <c r="AOO267" s="691"/>
      <c r="AOP267" s="651"/>
      <c r="AOQ267" s="691"/>
      <c r="AOR267" s="651"/>
      <c r="AOS267" s="691"/>
      <c r="AOT267" s="651"/>
      <c r="AOU267" s="691"/>
      <c r="AOV267" s="651"/>
      <c r="AOW267" s="691"/>
      <c r="AOX267" s="651"/>
      <c r="AOY267" s="691"/>
      <c r="AOZ267" s="651"/>
      <c r="APA267" s="691"/>
      <c r="APB267" s="651"/>
      <c r="APC267" s="691"/>
      <c r="APD267" s="651"/>
      <c r="APE267" s="691"/>
      <c r="APF267" s="651"/>
      <c r="APG267" s="691"/>
      <c r="APH267" s="651"/>
      <c r="API267" s="691"/>
      <c r="APJ267" s="651"/>
      <c r="APK267" s="691"/>
      <c r="APL267" s="651"/>
      <c r="APM267" s="691"/>
      <c r="APN267" s="651"/>
      <c r="APO267" s="691"/>
      <c r="APP267" s="651"/>
      <c r="APQ267" s="691"/>
      <c r="APR267" s="651"/>
      <c r="APS267" s="691"/>
      <c r="APT267" s="651"/>
      <c r="APU267" s="691"/>
      <c r="APV267" s="651"/>
      <c r="APW267" s="691"/>
      <c r="APX267" s="651"/>
      <c r="APY267" s="691"/>
      <c r="APZ267" s="651"/>
      <c r="AQA267" s="691"/>
      <c r="AQB267" s="651"/>
      <c r="AQC267" s="691"/>
      <c r="AQD267" s="651"/>
      <c r="AQE267" s="691"/>
      <c r="AQF267" s="651"/>
      <c r="AQG267" s="691"/>
      <c r="AQH267" s="651"/>
      <c r="AQI267" s="691"/>
      <c r="AQJ267" s="651"/>
      <c r="AQK267" s="691"/>
      <c r="AQL267" s="651"/>
      <c r="AQM267" s="691"/>
      <c r="AQN267" s="651"/>
      <c r="AQO267" s="691"/>
      <c r="AQP267" s="651"/>
      <c r="AQQ267" s="691"/>
      <c r="AQR267" s="651"/>
      <c r="AQS267" s="691"/>
      <c r="AQT267" s="651"/>
      <c r="AQU267" s="691"/>
      <c r="AQV267" s="651"/>
      <c r="AQW267" s="691"/>
      <c r="AQX267" s="651"/>
      <c r="AQY267" s="691"/>
      <c r="AQZ267" s="651"/>
      <c r="ARA267" s="691"/>
      <c r="ARB267" s="651"/>
      <c r="ARC267" s="691"/>
      <c r="ARD267" s="651"/>
      <c r="ARE267" s="691"/>
      <c r="ARF267" s="651"/>
      <c r="ARG267" s="691"/>
      <c r="ARH267" s="651"/>
      <c r="ARI267" s="691"/>
      <c r="ARJ267" s="651"/>
      <c r="ARK267" s="691"/>
      <c r="ARL267" s="651"/>
      <c r="ARM267" s="691"/>
      <c r="ARN267" s="651"/>
      <c r="ARO267" s="691"/>
      <c r="ARP267" s="651"/>
      <c r="ARQ267" s="691"/>
      <c r="ARR267" s="651"/>
      <c r="ARS267" s="691"/>
      <c r="ART267" s="651"/>
      <c r="ARU267" s="691"/>
      <c r="ARV267" s="651"/>
      <c r="ARW267" s="691"/>
      <c r="ARX267" s="651"/>
      <c r="ARY267" s="691"/>
      <c r="ARZ267" s="651"/>
      <c r="ASA267" s="691"/>
      <c r="ASB267" s="651"/>
      <c r="ASC267" s="691"/>
      <c r="ASD267" s="651"/>
      <c r="ASE267" s="691"/>
      <c r="ASF267" s="651"/>
      <c r="ASG267" s="691"/>
      <c r="ASH267" s="651"/>
      <c r="ASI267" s="691"/>
      <c r="ASJ267" s="651"/>
      <c r="ASK267" s="691"/>
      <c r="ASL267" s="651"/>
      <c r="ASM267" s="691"/>
      <c r="ASN267" s="651"/>
      <c r="ASO267" s="691"/>
      <c r="ASP267" s="651"/>
      <c r="ASQ267" s="691"/>
      <c r="ASR267" s="651"/>
      <c r="ASS267" s="691"/>
      <c r="AST267" s="651"/>
      <c r="ASU267" s="691"/>
      <c r="ASV267" s="651"/>
      <c r="ASW267" s="691"/>
      <c r="ASX267" s="651"/>
      <c r="ASY267" s="691"/>
      <c r="ASZ267" s="651"/>
      <c r="ATA267" s="691"/>
      <c r="ATB267" s="651"/>
      <c r="ATC267" s="691"/>
      <c r="ATD267" s="651"/>
      <c r="ATE267" s="691"/>
      <c r="ATF267" s="651"/>
      <c r="ATG267" s="691"/>
      <c r="ATH267" s="651"/>
      <c r="ATI267" s="691"/>
      <c r="ATJ267" s="651"/>
      <c r="ATK267" s="691"/>
      <c r="ATL267" s="651"/>
      <c r="ATM267" s="691"/>
      <c r="ATN267" s="651"/>
      <c r="ATO267" s="691"/>
      <c r="ATP267" s="651"/>
      <c r="ATQ267" s="691"/>
      <c r="ATR267" s="651"/>
      <c r="ATS267" s="691"/>
      <c r="ATT267" s="651"/>
      <c r="ATU267" s="691"/>
      <c r="ATV267" s="651"/>
      <c r="ATW267" s="691"/>
      <c r="ATX267" s="651"/>
      <c r="ATY267" s="691"/>
      <c r="ATZ267" s="651"/>
      <c r="AUA267" s="691"/>
      <c r="AUB267" s="651"/>
      <c r="AUC267" s="691"/>
      <c r="AUD267" s="651"/>
      <c r="AUE267" s="691"/>
      <c r="AUF267" s="651"/>
      <c r="AUG267" s="691"/>
      <c r="AUH267" s="651"/>
      <c r="AUI267" s="691"/>
      <c r="AUJ267" s="651"/>
      <c r="AUK267" s="691"/>
      <c r="AUL267" s="651"/>
      <c r="AUM267" s="691"/>
      <c r="AUN267" s="651"/>
      <c r="AUO267" s="691"/>
      <c r="AUP267" s="651"/>
      <c r="AUQ267" s="691"/>
      <c r="AUR267" s="651"/>
      <c r="AUS267" s="691"/>
      <c r="AUT267" s="651"/>
      <c r="AUU267" s="691"/>
      <c r="AUV267" s="651"/>
      <c r="AUW267" s="691"/>
      <c r="AUX267" s="651"/>
      <c r="AUY267" s="691"/>
      <c r="AUZ267" s="651"/>
      <c r="AVA267" s="691"/>
      <c r="AVB267" s="651"/>
      <c r="AVC267" s="691"/>
      <c r="AVD267" s="651"/>
      <c r="AVE267" s="691"/>
      <c r="AVF267" s="651"/>
      <c r="AVG267" s="691"/>
      <c r="AVH267" s="651"/>
      <c r="AVI267" s="691"/>
      <c r="AVJ267" s="651"/>
      <c r="AVK267" s="691"/>
      <c r="AVL267" s="651"/>
      <c r="AVM267" s="691"/>
      <c r="AVN267" s="651"/>
      <c r="AVO267" s="691"/>
      <c r="AVP267" s="651"/>
      <c r="AVQ267" s="691"/>
      <c r="AVR267" s="651"/>
      <c r="AVS267" s="691"/>
      <c r="AVT267" s="651"/>
      <c r="AVU267" s="691"/>
      <c r="AVV267" s="651"/>
      <c r="AVW267" s="691"/>
      <c r="AVX267" s="651"/>
      <c r="AVY267" s="691"/>
      <c r="AVZ267" s="651"/>
      <c r="AWA267" s="691"/>
      <c r="AWB267" s="651"/>
      <c r="AWC267" s="691"/>
      <c r="AWD267" s="651"/>
      <c r="AWE267" s="691"/>
      <c r="AWF267" s="651"/>
      <c r="AWG267" s="691"/>
      <c r="AWH267" s="651"/>
      <c r="AWI267" s="691"/>
      <c r="AWJ267" s="651"/>
      <c r="AWK267" s="691"/>
      <c r="AWL267" s="651"/>
      <c r="AWM267" s="691"/>
      <c r="AWN267" s="651"/>
      <c r="AWO267" s="691"/>
      <c r="AWP267" s="651"/>
      <c r="AWQ267" s="691"/>
      <c r="AWR267" s="651"/>
      <c r="AWS267" s="691"/>
      <c r="AWT267" s="651"/>
      <c r="AWU267" s="691"/>
      <c r="AWV267" s="651"/>
      <c r="AWW267" s="691"/>
      <c r="AWX267" s="651"/>
      <c r="AWY267" s="691"/>
      <c r="AWZ267" s="651"/>
      <c r="AXA267" s="691"/>
      <c r="AXB267" s="651"/>
      <c r="AXC267" s="691"/>
      <c r="AXD267" s="651"/>
      <c r="AXE267" s="691"/>
      <c r="AXF267" s="651"/>
      <c r="AXG267" s="691"/>
      <c r="AXH267" s="651"/>
      <c r="AXI267" s="691"/>
      <c r="AXJ267" s="651"/>
      <c r="AXK267" s="691"/>
      <c r="AXL267" s="651"/>
      <c r="AXM267" s="691"/>
      <c r="AXN267" s="651"/>
      <c r="AXO267" s="691"/>
      <c r="AXP267" s="651"/>
      <c r="AXQ267" s="691"/>
      <c r="AXR267" s="651"/>
      <c r="AXS267" s="691"/>
      <c r="AXT267" s="651"/>
      <c r="AXU267" s="691"/>
      <c r="AXV267" s="651"/>
      <c r="AXW267" s="691"/>
      <c r="AXX267" s="651"/>
      <c r="AXY267" s="691"/>
      <c r="AXZ267" s="651"/>
      <c r="AYA267" s="691"/>
      <c r="AYB267" s="651"/>
      <c r="AYC267" s="691"/>
      <c r="AYD267" s="651"/>
      <c r="AYE267" s="691"/>
      <c r="AYF267" s="651"/>
      <c r="AYG267" s="691"/>
      <c r="AYH267" s="651"/>
      <c r="AYI267" s="691"/>
      <c r="AYJ267" s="651"/>
      <c r="AYK267" s="691"/>
      <c r="AYL267" s="651"/>
      <c r="AYM267" s="691"/>
      <c r="AYN267" s="651"/>
      <c r="AYO267" s="691"/>
      <c r="AYP267" s="651"/>
      <c r="AYQ267" s="691"/>
      <c r="AYR267" s="651"/>
      <c r="AYS267" s="691"/>
      <c r="AYT267" s="651"/>
      <c r="AYU267" s="691"/>
      <c r="AYV267" s="651"/>
      <c r="AYW267" s="691"/>
      <c r="AYX267" s="651"/>
      <c r="AYY267" s="691"/>
      <c r="AYZ267" s="651"/>
      <c r="AZA267" s="691"/>
      <c r="AZB267" s="651"/>
      <c r="AZC267" s="691"/>
      <c r="AZD267" s="651"/>
      <c r="AZE267" s="691"/>
      <c r="AZF267" s="651"/>
      <c r="AZG267" s="691"/>
      <c r="AZH267" s="651"/>
      <c r="AZI267" s="691"/>
      <c r="AZJ267" s="651"/>
      <c r="AZK267" s="691"/>
      <c r="AZL267" s="651"/>
      <c r="AZM267" s="691"/>
      <c r="AZN267" s="651"/>
      <c r="AZO267" s="691"/>
      <c r="AZP267" s="651"/>
      <c r="AZQ267" s="691"/>
      <c r="AZR267" s="651"/>
      <c r="AZS267" s="691"/>
      <c r="AZT267" s="651"/>
      <c r="AZU267" s="691"/>
      <c r="AZV267" s="651"/>
      <c r="AZW267" s="691"/>
      <c r="AZX267" s="651"/>
      <c r="AZY267" s="691"/>
      <c r="AZZ267" s="651"/>
      <c r="BAA267" s="691"/>
      <c r="BAB267" s="651"/>
      <c r="BAC267" s="691"/>
      <c r="BAD267" s="651"/>
      <c r="BAE267" s="691"/>
      <c r="BAF267" s="651"/>
      <c r="BAG267" s="691"/>
      <c r="BAH267" s="651"/>
      <c r="BAI267" s="691"/>
      <c r="BAJ267" s="651"/>
      <c r="BAK267" s="691"/>
      <c r="BAL267" s="651"/>
      <c r="BAM267" s="691"/>
      <c r="BAN267" s="651"/>
      <c r="BAO267" s="691"/>
      <c r="BAP267" s="651"/>
      <c r="BAQ267" s="691"/>
      <c r="BAR267" s="651"/>
      <c r="BAS267" s="691"/>
      <c r="BAT267" s="651"/>
      <c r="BAU267" s="691"/>
      <c r="BAV267" s="651"/>
      <c r="BAW267" s="691"/>
      <c r="BAX267" s="651"/>
      <c r="BAY267" s="691"/>
      <c r="BAZ267" s="651"/>
      <c r="BBA267" s="691"/>
      <c r="BBB267" s="651"/>
      <c r="BBC267" s="691"/>
      <c r="BBD267" s="651"/>
      <c r="BBE267" s="691"/>
      <c r="BBF267" s="651"/>
      <c r="BBG267" s="691"/>
      <c r="BBH267" s="651"/>
      <c r="BBI267" s="691"/>
      <c r="BBJ267" s="651"/>
      <c r="BBK267" s="691"/>
      <c r="BBL267" s="651"/>
      <c r="BBM267" s="691"/>
      <c r="BBN267" s="651"/>
      <c r="BBO267" s="691"/>
      <c r="BBP267" s="651"/>
      <c r="BBQ267" s="691"/>
      <c r="BBR267" s="651"/>
      <c r="BBS267" s="691"/>
      <c r="BBT267" s="651"/>
      <c r="BBU267" s="691"/>
      <c r="BBV267" s="651"/>
      <c r="BBW267" s="691"/>
      <c r="BBX267" s="651"/>
      <c r="BBY267" s="691"/>
      <c r="BBZ267" s="651"/>
      <c r="BCA267" s="691"/>
      <c r="BCB267" s="651"/>
      <c r="BCC267" s="691"/>
      <c r="BCD267" s="651"/>
      <c r="BCE267" s="691"/>
      <c r="BCF267" s="651"/>
      <c r="BCG267" s="691"/>
      <c r="BCH267" s="651"/>
      <c r="BCI267" s="691"/>
      <c r="BCJ267" s="651"/>
      <c r="BCK267" s="691"/>
      <c r="BCL267" s="651"/>
      <c r="BCM267" s="691"/>
      <c r="BCN267" s="651"/>
      <c r="BCO267" s="691"/>
      <c r="BCP267" s="651"/>
      <c r="BCQ267" s="691"/>
      <c r="BCR267" s="651"/>
      <c r="BCS267" s="691"/>
      <c r="BCT267" s="651"/>
      <c r="BCU267" s="691"/>
      <c r="BCV267" s="651"/>
      <c r="BCW267" s="691"/>
      <c r="BCX267" s="651"/>
      <c r="BCY267" s="691"/>
      <c r="BCZ267" s="651"/>
      <c r="BDA267" s="691"/>
      <c r="BDB267" s="651"/>
      <c r="BDC267" s="691"/>
      <c r="BDD267" s="651"/>
      <c r="BDE267" s="691"/>
      <c r="BDF267" s="651"/>
      <c r="BDG267" s="691"/>
      <c r="BDH267" s="651"/>
      <c r="BDI267" s="691"/>
      <c r="BDJ267" s="651"/>
      <c r="BDK267" s="691"/>
      <c r="BDL267" s="651"/>
      <c r="BDM267" s="691"/>
      <c r="BDN267" s="651"/>
      <c r="BDO267" s="691"/>
      <c r="BDP267" s="651"/>
      <c r="BDQ267" s="691"/>
      <c r="BDR267" s="651"/>
      <c r="BDS267" s="691"/>
      <c r="BDT267" s="651"/>
      <c r="BDU267" s="691"/>
      <c r="BDV267" s="651"/>
      <c r="BDW267" s="691"/>
      <c r="BDX267" s="651"/>
      <c r="BDY267" s="691"/>
      <c r="BDZ267" s="651"/>
      <c r="BEA267" s="691"/>
      <c r="BEB267" s="651"/>
      <c r="BEC267" s="691"/>
      <c r="BED267" s="651"/>
      <c r="BEE267" s="691"/>
      <c r="BEF267" s="651"/>
      <c r="BEG267" s="691"/>
      <c r="BEH267" s="651"/>
      <c r="BEI267" s="691"/>
      <c r="BEJ267" s="651"/>
      <c r="BEK267" s="691"/>
      <c r="BEL267" s="651"/>
      <c r="BEM267" s="691"/>
      <c r="BEN267" s="651"/>
      <c r="BEO267" s="691"/>
      <c r="BEP267" s="651"/>
      <c r="BEQ267" s="691"/>
      <c r="BER267" s="651"/>
      <c r="BES267" s="691"/>
      <c r="BET267" s="651"/>
      <c r="BEU267" s="691"/>
      <c r="BEV267" s="651"/>
      <c r="BEW267" s="691"/>
      <c r="BEX267" s="651"/>
      <c r="BEY267" s="691"/>
      <c r="BEZ267" s="651"/>
      <c r="BFA267" s="691"/>
      <c r="BFB267" s="651"/>
      <c r="BFC267" s="691"/>
      <c r="BFD267" s="651"/>
      <c r="BFE267" s="691"/>
      <c r="BFF267" s="651"/>
      <c r="BFG267" s="691"/>
      <c r="BFH267" s="651"/>
      <c r="BFI267" s="691"/>
      <c r="BFJ267" s="651"/>
      <c r="BFK267" s="691"/>
      <c r="BFL267" s="651"/>
      <c r="BFM267" s="691"/>
      <c r="BFN267" s="651"/>
      <c r="BFO267" s="691"/>
      <c r="BFP267" s="651"/>
      <c r="BFQ267" s="691"/>
      <c r="BFR267" s="651"/>
      <c r="BFS267" s="691"/>
      <c r="BFT267" s="651"/>
      <c r="BFU267" s="691"/>
      <c r="BFV267" s="651"/>
      <c r="BFW267" s="691"/>
      <c r="BFX267" s="651"/>
      <c r="BFY267" s="691"/>
      <c r="BFZ267" s="651"/>
      <c r="BGA267" s="691"/>
      <c r="BGB267" s="651"/>
      <c r="BGC267" s="691"/>
      <c r="BGD267" s="651"/>
      <c r="BGE267" s="691"/>
      <c r="BGF267" s="651"/>
      <c r="BGG267" s="691"/>
      <c r="BGH267" s="651"/>
      <c r="BGI267" s="691"/>
      <c r="BGJ267" s="651"/>
      <c r="BGK267" s="691"/>
      <c r="BGL267" s="651"/>
      <c r="BGM267" s="691"/>
      <c r="BGN267" s="651"/>
      <c r="BGO267" s="691"/>
      <c r="BGP267" s="651"/>
      <c r="BGQ267" s="691"/>
      <c r="BGR267" s="651"/>
      <c r="BGS267" s="691"/>
      <c r="BGT267" s="651"/>
      <c r="BGU267" s="691"/>
      <c r="BGV267" s="651"/>
      <c r="BGW267" s="691"/>
      <c r="BGX267" s="651"/>
      <c r="BGY267" s="691"/>
      <c r="BGZ267" s="651"/>
      <c r="BHA267" s="691"/>
      <c r="BHB267" s="651"/>
      <c r="BHC267" s="691"/>
      <c r="BHD267" s="651"/>
      <c r="BHE267" s="691"/>
      <c r="BHF267" s="651"/>
      <c r="BHG267" s="691"/>
      <c r="BHH267" s="651"/>
      <c r="BHI267" s="691"/>
      <c r="BHJ267" s="651"/>
      <c r="BHK267" s="691"/>
      <c r="BHL267" s="651"/>
      <c r="BHM267" s="691"/>
      <c r="BHN267" s="651"/>
      <c r="BHO267" s="691"/>
      <c r="BHP267" s="651"/>
      <c r="BHQ267" s="691"/>
      <c r="BHR267" s="651"/>
      <c r="BHS267" s="691"/>
      <c r="BHT267" s="651"/>
      <c r="BHU267" s="691"/>
      <c r="BHV267" s="651"/>
      <c r="BHW267" s="691"/>
      <c r="BHX267" s="651"/>
      <c r="BHY267" s="691"/>
      <c r="BHZ267" s="651"/>
      <c r="BIA267" s="691"/>
      <c r="BIB267" s="651"/>
      <c r="BIC267" s="691"/>
      <c r="BID267" s="651"/>
      <c r="BIE267" s="691"/>
      <c r="BIF267" s="651"/>
      <c r="BIG267" s="691"/>
      <c r="BIH267" s="651"/>
      <c r="BII267" s="691"/>
      <c r="BIJ267" s="651"/>
      <c r="BIK267" s="691"/>
      <c r="BIL267" s="651"/>
      <c r="BIM267" s="691"/>
      <c r="BIN267" s="651"/>
      <c r="BIO267" s="691"/>
      <c r="BIP267" s="651"/>
      <c r="BIQ267" s="691"/>
      <c r="BIR267" s="651"/>
      <c r="BIS267" s="691"/>
      <c r="BIT267" s="651"/>
      <c r="BIU267" s="691"/>
      <c r="BIV267" s="651"/>
      <c r="BIW267" s="691"/>
      <c r="BIX267" s="651"/>
      <c r="BIY267" s="691"/>
      <c r="BIZ267" s="651"/>
      <c r="BJA267" s="691"/>
      <c r="BJB267" s="651"/>
      <c r="BJC267" s="691"/>
      <c r="BJD267" s="651"/>
      <c r="BJE267" s="691"/>
      <c r="BJF267" s="651"/>
      <c r="BJG267" s="691"/>
      <c r="BJH267" s="651"/>
      <c r="BJI267" s="691"/>
      <c r="BJJ267" s="651"/>
      <c r="BJK267" s="691"/>
      <c r="BJL267" s="651"/>
      <c r="BJM267" s="691"/>
      <c r="BJN267" s="651"/>
      <c r="BJO267" s="691"/>
      <c r="BJP267" s="651"/>
      <c r="BJQ267" s="691"/>
      <c r="BJR267" s="651"/>
      <c r="BJS267" s="691"/>
      <c r="BJT267" s="651"/>
      <c r="BJU267" s="691"/>
      <c r="BJV267" s="651"/>
      <c r="BJW267" s="691"/>
      <c r="BJX267" s="651"/>
      <c r="BJY267" s="691"/>
      <c r="BJZ267" s="651"/>
      <c r="BKA267" s="691"/>
      <c r="BKB267" s="651"/>
      <c r="BKC267" s="691"/>
      <c r="BKD267" s="651"/>
      <c r="BKE267" s="691"/>
      <c r="BKF267" s="651"/>
      <c r="BKG267" s="691"/>
      <c r="BKH267" s="651"/>
      <c r="BKI267" s="691"/>
      <c r="BKJ267" s="651"/>
      <c r="BKK267" s="691"/>
      <c r="BKL267" s="651"/>
      <c r="BKM267" s="691"/>
      <c r="BKN267" s="651"/>
      <c r="BKO267" s="691"/>
      <c r="BKP267" s="651"/>
      <c r="BKQ267" s="691"/>
      <c r="BKR267" s="651"/>
      <c r="BKS267" s="691"/>
      <c r="BKT267" s="651"/>
      <c r="BKU267" s="691"/>
      <c r="BKV267" s="651"/>
      <c r="BKW267" s="691"/>
      <c r="BKX267" s="651"/>
      <c r="BKY267" s="691"/>
      <c r="BKZ267" s="651"/>
      <c r="BLA267" s="691"/>
      <c r="BLB267" s="651"/>
      <c r="BLC267" s="691"/>
      <c r="BLD267" s="651"/>
      <c r="BLE267" s="691"/>
      <c r="BLF267" s="651"/>
      <c r="BLG267" s="691"/>
      <c r="BLH267" s="651"/>
      <c r="BLI267" s="691"/>
      <c r="BLJ267" s="651"/>
      <c r="BLK267" s="691"/>
      <c r="BLL267" s="651"/>
      <c r="BLM267" s="691"/>
      <c r="BLN267" s="651"/>
      <c r="BLO267" s="691"/>
      <c r="BLP267" s="651"/>
      <c r="BLQ267" s="691"/>
      <c r="BLR267" s="651"/>
      <c r="BLS267" s="691"/>
      <c r="BLT267" s="651"/>
      <c r="BLU267" s="691"/>
      <c r="BLV267" s="651"/>
      <c r="BLW267" s="691"/>
      <c r="BLX267" s="651"/>
      <c r="BLY267" s="691"/>
      <c r="BLZ267" s="651"/>
      <c r="BMA267" s="691"/>
      <c r="BMB267" s="651"/>
      <c r="BMC267" s="691"/>
      <c r="BMD267" s="651"/>
      <c r="BME267" s="691"/>
      <c r="BMF267" s="651"/>
      <c r="BMG267" s="691"/>
      <c r="BMH267" s="651"/>
      <c r="BMI267" s="691"/>
      <c r="BMJ267" s="651"/>
      <c r="BMK267" s="691"/>
      <c r="BML267" s="651"/>
      <c r="BMM267" s="691"/>
      <c r="BMN267" s="651"/>
      <c r="BMO267" s="691"/>
      <c r="BMP267" s="651"/>
      <c r="BMQ267" s="691"/>
      <c r="BMR267" s="651"/>
      <c r="BMS267" s="691"/>
      <c r="BMT267" s="651"/>
      <c r="BMU267" s="691"/>
      <c r="BMV267" s="651"/>
      <c r="BMW267" s="691"/>
      <c r="BMX267" s="651"/>
      <c r="BMY267" s="691"/>
      <c r="BMZ267" s="651"/>
      <c r="BNA267" s="691"/>
      <c r="BNB267" s="651"/>
      <c r="BNC267" s="691"/>
      <c r="BND267" s="651"/>
      <c r="BNE267" s="691"/>
      <c r="BNF267" s="651"/>
      <c r="BNG267" s="691"/>
      <c r="BNH267" s="651"/>
      <c r="BNI267" s="691"/>
      <c r="BNJ267" s="651"/>
      <c r="BNK267" s="691"/>
      <c r="BNL267" s="651"/>
      <c r="BNM267" s="691"/>
      <c r="BNN267" s="651"/>
      <c r="BNO267" s="691"/>
      <c r="BNP267" s="651"/>
      <c r="BNQ267" s="691"/>
      <c r="BNR267" s="651"/>
      <c r="BNS267" s="691"/>
      <c r="BNT267" s="651"/>
      <c r="BNU267" s="691"/>
      <c r="BNV267" s="651"/>
      <c r="BNW267" s="691"/>
      <c r="BNX267" s="651"/>
      <c r="BNY267" s="691"/>
      <c r="BNZ267" s="651"/>
      <c r="BOA267" s="691"/>
      <c r="BOB267" s="651"/>
      <c r="BOC267" s="691"/>
      <c r="BOD267" s="651"/>
      <c r="BOE267" s="691"/>
      <c r="BOF267" s="651"/>
      <c r="BOG267" s="691"/>
      <c r="BOH267" s="651"/>
      <c r="BOI267" s="691"/>
      <c r="BOJ267" s="651"/>
      <c r="BOK267" s="691"/>
      <c r="BOL267" s="651"/>
      <c r="BOM267" s="691"/>
      <c r="BON267" s="651"/>
      <c r="BOO267" s="691"/>
      <c r="BOP267" s="651"/>
      <c r="BOQ267" s="691"/>
      <c r="BOR267" s="651"/>
      <c r="BOS267" s="691"/>
      <c r="BOT267" s="651"/>
      <c r="BOU267" s="691"/>
      <c r="BOV267" s="651"/>
      <c r="BOW267" s="691"/>
      <c r="BOX267" s="651"/>
      <c r="BOY267" s="691"/>
      <c r="BOZ267" s="651"/>
      <c r="BPA267" s="691"/>
      <c r="BPB267" s="651"/>
      <c r="BPC267" s="691"/>
      <c r="BPD267" s="651"/>
      <c r="BPE267" s="691"/>
      <c r="BPF267" s="651"/>
      <c r="BPG267" s="691"/>
      <c r="BPH267" s="651"/>
      <c r="BPI267" s="691"/>
      <c r="BPJ267" s="651"/>
      <c r="BPK267" s="691"/>
      <c r="BPL267" s="651"/>
      <c r="BPM267" s="691"/>
      <c r="BPN267" s="651"/>
      <c r="BPO267" s="691"/>
      <c r="BPP267" s="651"/>
      <c r="BPQ267" s="691"/>
      <c r="BPR267" s="651"/>
      <c r="BPS267" s="691"/>
      <c r="BPT267" s="651"/>
      <c r="BPU267" s="691"/>
      <c r="BPV267" s="651"/>
      <c r="BPW267" s="691"/>
      <c r="BPX267" s="651"/>
      <c r="BPY267" s="691"/>
      <c r="BPZ267" s="651"/>
      <c r="BQA267" s="691"/>
      <c r="BQB267" s="651"/>
      <c r="BQC267" s="691"/>
      <c r="BQD267" s="651"/>
      <c r="BQE267" s="691"/>
      <c r="BQF267" s="651"/>
      <c r="BQG267" s="691"/>
      <c r="BQH267" s="651"/>
      <c r="BQI267" s="691"/>
      <c r="BQJ267" s="651"/>
      <c r="BQK267" s="691"/>
      <c r="BQL267" s="651"/>
      <c r="BQM267" s="691"/>
      <c r="BQN267" s="651"/>
      <c r="BQO267" s="691"/>
      <c r="BQP267" s="651"/>
      <c r="BQQ267" s="691"/>
      <c r="BQR267" s="651"/>
      <c r="BQS267" s="691"/>
      <c r="BQT267" s="651"/>
      <c r="BQU267" s="691"/>
      <c r="BQV267" s="651"/>
      <c r="BQW267" s="691"/>
      <c r="BQX267" s="651"/>
      <c r="BQY267" s="691"/>
      <c r="BQZ267" s="651"/>
      <c r="BRA267" s="691"/>
      <c r="BRB267" s="651"/>
      <c r="BRC267" s="691"/>
      <c r="BRD267" s="651"/>
      <c r="BRE267" s="691"/>
      <c r="BRF267" s="651"/>
      <c r="BRG267" s="691"/>
      <c r="BRH267" s="651"/>
      <c r="BRI267" s="691"/>
      <c r="BRJ267" s="651"/>
      <c r="BRK267" s="691"/>
      <c r="BRL267" s="651"/>
      <c r="BRM267" s="691"/>
      <c r="BRN267" s="651"/>
      <c r="BRO267" s="691"/>
      <c r="BRP267" s="651"/>
      <c r="BRQ267" s="691"/>
      <c r="BRR267" s="651"/>
      <c r="BRS267" s="691"/>
      <c r="BRT267" s="651"/>
      <c r="BRU267" s="691"/>
      <c r="BRV267" s="651"/>
      <c r="BRW267" s="691"/>
      <c r="BRX267" s="651"/>
      <c r="BRY267" s="691"/>
      <c r="BRZ267" s="651"/>
      <c r="BSA267" s="691"/>
      <c r="BSB267" s="651"/>
      <c r="BSC267" s="691"/>
      <c r="BSD267" s="651"/>
      <c r="BSE267" s="691"/>
      <c r="BSF267" s="651"/>
      <c r="BSG267" s="691"/>
      <c r="BSH267" s="651"/>
      <c r="BSI267" s="691"/>
      <c r="BSJ267" s="651"/>
      <c r="BSK267" s="691"/>
      <c r="BSL267" s="651"/>
      <c r="BSM267" s="691"/>
      <c r="BSN267" s="651"/>
      <c r="BSO267" s="691"/>
      <c r="BSP267" s="651"/>
      <c r="BSQ267" s="691"/>
      <c r="BSR267" s="651"/>
      <c r="BSS267" s="691"/>
      <c r="BST267" s="651"/>
      <c r="BSU267" s="691"/>
      <c r="BSV267" s="651"/>
      <c r="BSW267" s="691"/>
      <c r="BSX267" s="651"/>
      <c r="BSY267" s="691"/>
      <c r="BSZ267" s="651"/>
      <c r="BTA267" s="691"/>
      <c r="BTB267" s="651"/>
      <c r="BTC267" s="691"/>
      <c r="BTD267" s="651"/>
      <c r="BTE267" s="691"/>
      <c r="BTF267" s="651"/>
      <c r="BTG267" s="691"/>
      <c r="BTH267" s="651"/>
      <c r="BTI267" s="691"/>
      <c r="BTJ267" s="651"/>
      <c r="BTK267" s="691"/>
      <c r="BTL267" s="651"/>
      <c r="BTM267" s="691"/>
      <c r="BTN267" s="651"/>
      <c r="BTO267" s="691"/>
      <c r="BTP267" s="651"/>
      <c r="BTQ267" s="691"/>
      <c r="BTR267" s="651"/>
      <c r="BTS267" s="691"/>
      <c r="BTT267" s="651"/>
      <c r="BTU267" s="691"/>
      <c r="BTV267" s="651"/>
      <c r="BTW267" s="691"/>
      <c r="BTX267" s="651"/>
      <c r="BTY267" s="691"/>
      <c r="BTZ267" s="651"/>
      <c r="BUA267" s="691"/>
      <c r="BUB267" s="651"/>
      <c r="BUC267" s="691"/>
      <c r="BUD267" s="651"/>
      <c r="BUE267" s="691"/>
      <c r="BUF267" s="651"/>
      <c r="BUG267" s="691"/>
      <c r="BUH267" s="651"/>
      <c r="BUI267" s="691"/>
      <c r="BUJ267" s="651"/>
      <c r="BUK267" s="691"/>
      <c r="BUL267" s="651"/>
      <c r="BUM267" s="691"/>
      <c r="BUN267" s="651"/>
      <c r="BUO267" s="691"/>
      <c r="BUP267" s="651"/>
      <c r="BUQ267" s="691"/>
      <c r="BUR267" s="651"/>
      <c r="BUS267" s="691"/>
      <c r="BUT267" s="651"/>
      <c r="BUU267" s="691"/>
      <c r="BUV267" s="651"/>
      <c r="BUW267" s="691"/>
      <c r="BUX267" s="651"/>
      <c r="BUY267" s="691"/>
      <c r="BUZ267" s="651"/>
      <c r="BVA267" s="691"/>
      <c r="BVB267" s="651"/>
      <c r="BVC267" s="691"/>
      <c r="BVD267" s="651"/>
      <c r="BVE267" s="691"/>
      <c r="BVF267" s="651"/>
      <c r="BVG267" s="691"/>
      <c r="BVH267" s="651"/>
      <c r="BVI267" s="691"/>
      <c r="BVJ267" s="651"/>
      <c r="BVK267" s="691"/>
      <c r="BVL267" s="651"/>
      <c r="BVM267" s="691"/>
      <c r="BVN267" s="651"/>
      <c r="BVO267" s="691"/>
      <c r="BVP267" s="651"/>
      <c r="BVQ267" s="691"/>
      <c r="BVR267" s="651"/>
      <c r="BVS267" s="691"/>
      <c r="BVT267" s="651"/>
      <c r="BVU267" s="691"/>
      <c r="BVV267" s="651"/>
      <c r="BVW267" s="691"/>
      <c r="BVX267" s="651"/>
      <c r="BVY267" s="691"/>
      <c r="BVZ267" s="651"/>
      <c r="BWA267" s="691"/>
      <c r="BWB267" s="651"/>
      <c r="BWC267" s="691"/>
      <c r="BWD267" s="651"/>
      <c r="BWE267" s="691"/>
      <c r="BWF267" s="651"/>
      <c r="BWG267" s="691"/>
      <c r="BWH267" s="651"/>
      <c r="BWI267" s="691"/>
      <c r="BWJ267" s="651"/>
      <c r="BWK267" s="691"/>
      <c r="BWL267" s="651"/>
      <c r="BWM267" s="691"/>
      <c r="BWN267" s="651"/>
      <c r="BWO267" s="691"/>
      <c r="BWP267" s="651"/>
      <c r="BWQ267" s="691"/>
      <c r="BWR267" s="651"/>
      <c r="BWS267" s="691"/>
      <c r="BWT267" s="651"/>
      <c r="BWU267" s="691"/>
      <c r="BWV267" s="651"/>
      <c r="BWW267" s="691"/>
      <c r="BWX267" s="651"/>
      <c r="BWY267" s="691"/>
      <c r="BWZ267" s="651"/>
      <c r="BXA267" s="691"/>
      <c r="BXB267" s="651"/>
      <c r="BXC267" s="691"/>
      <c r="BXD267" s="651"/>
      <c r="BXE267" s="691"/>
      <c r="BXF267" s="651"/>
      <c r="BXG267" s="691"/>
      <c r="BXH267" s="651"/>
      <c r="BXI267" s="691"/>
      <c r="BXJ267" s="651"/>
      <c r="BXK267" s="691"/>
      <c r="BXL267" s="651"/>
      <c r="BXM267" s="691"/>
      <c r="BXN267" s="651"/>
      <c r="BXO267" s="691"/>
      <c r="BXP267" s="651"/>
      <c r="BXQ267" s="691"/>
      <c r="BXR267" s="651"/>
      <c r="BXS267" s="691"/>
      <c r="BXT267" s="651"/>
      <c r="BXU267" s="691"/>
      <c r="BXV267" s="651"/>
      <c r="BXW267" s="691"/>
      <c r="BXX267" s="651"/>
      <c r="BXY267" s="691"/>
      <c r="BXZ267" s="651"/>
      <c r="BYA267" s="691"/>
      <c r="BYB267" s="651"/>
      <c r="BYC267" s="691"/>
      <c r="BYD267" s="651"/>
      <c r="BYE267" s="691"/>
      <c r="BYF267" s="651"/>
      <c r="BYG267" s="691"/>
      <c r="BYH267" s="651"/>
      <c r="BYI267" s="691"/>
      <c r="BYJ267" s="651"/>
      <c r="BYK267" s="691"/>
      <c r="BYL267" s="651"/>
      <c r="BYM267" s="691"/>
      <c r="BYN267" s="651"/>
      <c r="BYO267" s="691"/>
      <c r="BYP267" s="651"/>
      <c r="BYQ267" s="691"/>
      <c r="BYR267" s="651"/>
      <c r="BYS267" s="691"/>
      <c r="BYT267" s="651"/>
      <c r="BYU267" s="691"/>
      <c r="BYV267" s="651"/>
      <c r="BYW267" s="691"/>
      <c r="BYX267" s="651"/>
      <c r="BYY267" s="691"/>
      <c r="BYZ267" s="651"/>
      <c r="BZA267" s="691"/>
      <c r="BZB267" s="651"/>
      <c r="BZC267" s="691"/>
      <c r="BZD267" s="651"/>
      <c r="BZE267" s="691"/>
      <c r="BZF267" s="651"/>
      <c r="BZG267" s="691"/>
      <c r="BZH267" s="651"/>
      <c r="BZI267" s="691"/>
      <c r="BZJ267" s="651"/>
      <c r="BZK267" s="691"/>
      <c r="BZL267" s="651"/>
      <c r="BZM267" s="691"/>
      <c r="BZN267" s="651"/>
      <c r="BZO267" s="691"/>
      <c r="BZP267" s="651"/>
      <c r="BZQ267" s="691"/>
      <c r="BZR267" s="651"/>
      <c r="BZS267" s="691"/>
      <c r="BZT267" s="651"/>
      <c r="BZU267" s="691"/>
      <c r="BZV267" s="651"/>
      <c r="BZW267" s="691"/>
      <c r="BZX267" s="651"/>
      <c r="BZY267" s="691"/>
      <c r="BZZ267" s="651"/>
      <c r="CAA267" s="691"/>
      <c r="CAB267" s="651"/>
      <c r="CAC267" s="691"/>
      <c r="CAD267" s="651"/>
      <c r="CAE267" s="691"/>
      <c r="CAF267" s="651"/>
      <c r="CAG267" s="691"/>
      <c r="CAH267" s="651"/>
      <c r="CAI267" s="691"/>
      <c r="CAJ267" s="651"/>
      <c r="CAK267" s="691"/>
      <c r="CAL267" s="651"/>
      <c r="CAM267" s="691"/>
      <c r="CAN267" s="651"/>
      <c r="CAO267" s="691"/>
      <c r="CAP267" s="651"/>
      <c r="CAQ267" s="691"/>
      <c r="CAR267" s="651"/>
      <c r="CAS267" s="691"/>
      <c r="CAT267" s="651"/>
      <c r="CAU267" s="691"/>
      <c r="CAV267" s="651"/>
      <c r="CAW267" s="691"/>
      <c r="CAX267" s="651"/>
      <c r="CAY267" s="691"/>
      <c r="CAZ267" s="651"/>
      <c r="CBA267" s="691"/>
      <c r="CBB267" s="651"/>
      <c r="CBC267" s="691"/>
      <c r="CBD267" s="651"/>
      <c r="CBE267" s="691"/>
      <c r="CBF267" s="651"/>
      <c r="CBG267" s="691"/>
      <c r="CBH267" s="651"/>
      <c r="CBI267" s="691"/>
      <c r="CBJ267" s="651"/>
      <c r="CBK267" s="691"/>
      <c r="CBL267" s="651"/>
      <c r="CBM267" s="691"/>
      <c r="CBN267" s="651"/>
      <c r="CBO267" s="691"/>
      <c r="CBP267" s="651"/>
      <c r="CBQ267" s="691"/>
      <c r="CBR267" s="651"/>
      <c r="CBS267" s="691"/>
      <c r="CBT267" s="651"/>
      <c r="CBU267" s="691"/>
      <c r="CBV267" s="651"/>
      <c r="CBW267" s="691"/>
      <c r="CBX267" s="651"/>
      <c r="CBY267" s="691"/>
      <c r="CBZ267" s="651"/>
      <c r="CCA267" s="691"/>
      <c r="CCB267" s="651"/>
      <c r="CCC267" s="691"/>
      <c r="CCD267" s="651"/>
      <c r="CCE267" s="691"/>
      <c r="CCF267" s="651"/>
      <c r="CCG267" s="691"/>
      <c r="CCH267" s="651"/>
      <c r="CCI267" s="691"/>
      <c r="CCJ267" s="651"/>
      <c r="CCK267" s="691"/>
      <c r="CCL267" s="651"/>
      <c r="CCM267" s="691"/>
      <c r="CCN267" s="651"/>
      <c r="CCO267" s="691"/>
      <c r="CCP267" s="651"/>
      <c r="CCQ267" s="691"/>
      <c r="CCR267" s="651"/>
      <c r="CCS267" s="691"/>
      <c r="CCT267" s="651"/>
      <c r="CCU267" s="691"/>
      <c r="CCV267" s="651"/>
      <c r="CCW267" s="691"/>
      <c r="CCX267" s="651"/>
      <c r="CCY267" s="691"/>
      <c r="CCZ267" s="651"/>
      <c r="CDA267" s="691"/>
      <c r="CDB267" s="651"/>
      <c r="CDC267" s="691"/>
      <c r="CDD267" s="651"/>
      <c r="CDE267" s="691"/>
      <c r="CDF267" s="651"/>
      <c r="CDG267" s="691"/>
      <c r="CDH267" s="651"/>
      <c r="CDI267" s="691"/>
      <c r="CDJ267" s="651"/>
      <c r="CDK267" s="691"/>
      <c r="CDL267" s="651"/>
      <c r="CDM267" s="691"/>
      <c r="CDN267" s="651"/>
      <c r="CDO267" s="691"/>
      <c r="CDP267" s="651"/>
      <c r="CDQ267" s="691"/>
      <c r="CDR267" s="651"/>
      <c r="CDS267" s="691"/>
      <c r="CDT267" s="651"/>
      <c r="CDU267" s="691"/>
      <c r="CDV267" s="651"/>
      <c r="CDW267" s="691"/>
      <c r="CDX267" s="651"/>
      <c r="CDY267" s="691"/>
      <c r="CDZ267" s="651"/>
      <c r="CEA267" s="691"/>
      <c r="CEB267" s="651"/>
      <c r="CEC267" s="691"/>
      <c r="CED267" s="651"/>
      <c r="CEE267" s="691"/>
      <c r="CEF267" s="651"/>
      <c r="CEG267" s="691"/>
      <c r="CEH267" s="651"/>
      <c r="CEI267" s="691"/>
      <c r="CEJ267" s="651"/>
      <c r="CEK267" s="691"/>
      <c r="CEL267" s="651"/>
      <c r="CEM267" s="691"/>
      <c r="CEN267" s="651"/>
      <c r="CEO267" s="691"/>
      <c r="CEP267" s="651"/>
      <c r="CEQ267" s="691"/>
      <c r="CER267" s="651"/>
      <c r="CES267" s="691"/>
      <c r="CET267" s="651"/>
      <c r="CEU267" s="691"/>
      <c r="CEV267" s="651"/>
      <c r="CEW267" s="691"/>
      <c r="CEX267" s="651"/>
      <c r="CEY267" s="691"/>
      <c r="CEZ267" s="651"/>
      <c r="CFA267" s="691"/>
      <c r="CFB267" s="651"/>
      <c r="CFC267" s="691"/>
      <c r="CFD267" s="651"/>
      <c r="CFE267" s="691"/>
      <c r="CFF267" s="651"/>
      <c r="CFG267" s="691"/>
      <c r="CFH267" s="651"/>
      <c r="CFI267" s="691"/>
      <c r="CFJ267" s="651"/>
      <c r="CFK267" s="691"/>
      <c r="CFL267" s="651"/>
      <c r="CFM267" s="691"/>
      <c r="CFN267" s="651"/>
      <c r="CFO267" s="691"/>
      <c r="CFP267" s="651"/>
      <c r="CFQ267" s="691"/>
      <c r="CFR267" s="651"/>
      <c r="CFS267" s="691"/>
      <c r="CFT267" s="651"/>
      <c r="CFU267" s="691"/>
      <c r="CFV267" s="651"/>
      <c r="CFW267" s="691"/>
      <c r="CFX267" s="651"/>
      <c r="CFY267" s="691"/>
      <c r="CFZ267" s="651"/>
      <c r="CGA267" s="691"/>
      <c r="CGB267" s="651"/>
      <c r="CGC267" s="691"/>
      <c r="CGD267" s="651"/>
      <c r="CGE267" s="691"/>
      <c r="CGF267" s="651"/>
      <c r="CGG267" s="691"/>
      <c r="CGH267" s="651"/>
      <c r="CGI267" s="691"/>
      <c r="CGJ267" s="651"/>
      <c r="CGK267" s="691"/>
      <c r="CGL267" s="651"/>
      <c r="CGM267" s="691"/>
      <c r="CGN267" s="651"/>
      <c r="CGO267" s="691"/>
      <c r="CGP267" s="651"/>
      <c r="CGQ267" s="691"/>
      <c r="CGR267" s="651"/>
      <c r="CGS267" s="691"/>
      <c r="CGT267" s="651"/>
      <c r="CGU267" s="691"/>
      <c r="CGV267" s="651"/>
      <c r="CGW267" s="691"/>
      <c r="CGX267" s="651"/>
      <c r="CGY267" s="691"/>
      <c r="CGZ267" s="651"/>
      <c r="CHA267" s="691"/>
      <c r="CHB267" s="651"/>
      <c r="CHC267" s="691"/>
      <c r="CHD267" s="651"/>
      <c r="CHE267" s="691"/>
      <c r="CHF267" s="651"/>
      <c r="CHG267" s="691"/>
      <c r="CHH267" s="651"/>
      <c r="CHI267" s="691"/>
      <c r="CHJ267" s="651"/>
      <c r="CHK267" s="691"/>
      <c r="CHL267" s="651"/>
      <c r="CHM267" s="691"/>
      <c r="CHN267" s="651"/>
      <c r="CHO267" s="691"/>
      <c r="CHP267" s="651"/>
      <c r="CHQ267" s="691"/>
      <c r="CHR267" s="651"/>
      <c r="CHS267" s="691"/>
      <c r="CHT267" s="651"/>
      <c r="CHU267" s="691"/>
      <c r="CHV267" s="651"/>
      <c r="CHW267" s="691"/>
      <c r="CHX267" s="651"/>
      <c r="CHY267" s="691"/>
      <c r="CHZ267" s="651"/>
      <c r="CIA267" s="691"/>
      <c r="CIB267" s="651"/>
      <c r="CIC267" s="691"/>
      <c r="CID267" s="651"/>
      <c r="CIE267" s="691"/>
      <c r="CIF267" s="651"/>
      <c r="CIG267" s="691"/>
      <c r="CIH267" s="651"/>
      <c r="CII267" s="691"/>
      <c r="CIJ267" s="651"/>
      <c r="CIK267" s="691"/>
      <c r="CIL267" s="651"/>
      <c r="CIM267" s="691"/>
      <c r="CIN267" s="651"/>
      <c r="CIO267" s="691"/>
      <c r="CIP267" s="651"/>
      <c r="CIQ267" s="691"/>
      <c r="CIR267" s="651"/>
      <c r="CIS267" s="691"/>
      <c r="CIT267" s="651"/>
      <c r="CIU267" s="691"/>
      <c r="CIV267" s="651"/>
      <c r="CIW267" s="691"/>
      <c r="CIX267" s="651"/>
      <c r="CIY267" s="691"/>
      <c r="CIZ267" s="651"/>
      <c r="CJA267" s="691"/>
      <c r="CJB267" s="651"/>
      <c r="CJC267" s="691"/>
      <c r="CJD267" s="651"/>
      <c r="CJE267" s="691"/>
      <c r="CJF267" s="651"/>
      <c r="CJG267" s="691"/>
      <c r="CJH267" s="651"/>
      <c r="CJI267" s="691"/>
      <c r="CJJ267" s="651"/>
      <c r="CJK267" s="691"/>
      <c r="CJL267" s="651"/>
      <c r="CJM267" s="691"/>
      <c r="CJN267" s="651"/>
      <c r="CJO267" s="691"/>
      <c r="CJP267" s="651"/>
      <c r="CJQ267" s="691"/>
      <c r="CJR267" s="651"/>
      <c r="CJS267" s="691"/>
      <c r="CJT267" s="651"/>
      <c r="CJU267" s="691"/>
      <c r="CJV267" s="651"/>
      <c r="CJW267" s="691"/>
      <c r="CJX267" s="651"/>
      <c r="CJY267" s="691"/>
      <c r="CJZ267" s="651"/>
      <c r="CKA267" s="691"/>
      <c r="CKB267" s="651"/>
      <c r="CKC267" s="691"/>
      <c r="CKD267" s="651"/>
      <c r="CKE267" s="691"/>
      <c r="CKF267" s="651"/>
      <c r="CKG267" s="691"/>
      <c r="CKH267" s="651"/>
      <c r="CKI267" s="691"/>
      <c r="CKJ267" s="651"/>
      <c r="CKK267" s="691"/>
      <c r="CKL267" s="651"/>
      <c r="CKM267" s="691"/>
      <c r="CKN267" s="651"/>
      <c r="CKO267" s="691"/>
      <c r="CKP267" s="651"/>
      <c r="CKQ267" s="691"/>
      <c r="CKR267" s="651"/>
      <c r="CKS267" s="691"/>
      <c r="CKT267" s="651"/>
      <c r="CKU267" s="691"/>
      <c r="CKV267" s="651"/>
      <c r="CKW267" s="691"/>
      <c r="CKX267" s="651"/>
      <c r="CKY267" s="691"/>
      <c r="CKZ267" s="651"/>
      <c r="CLA267" s="691"/>
      <c r="CLB267" s="651"/>
      <c r="CLC267" s="691"/>
      <c r="CLD267" s="651"/>
      <c r="CLE267" s="691"/>
      <c r="CLF267" s="651"/>
      <c r="CLG267" s="691"/>
      <c r="CLH267" s="651"/>
      <c r="CLI267" s="691"/>
      <c r="CLJ267" s="651"/>
      <c r="CLK267" s="691"/>
      <c r="CLL267" s="651"/>
      <c r="CLM267" s="691"/>
      <c r="CLN267" s="651"/>
      <c r="CLO267" s="691"/>
      <c r="CLP267" s="651"/>
      <c r="CLQ267" s="691"/>
      <c r="CLR267" s="651"/>
      <c r="CLS267" s="691"/>
      <c r="CLT267" s="651"/>
      <c r="CLU267" s="691"/>
      <c r="CLV267" s="651"/>
      <c r="CLW267" s="691"/>
      <c r="CLX267" s="651"/>
      <c r="CLY267" s="691"/>
      <c r="CLZ267" s="651"/>
      <c r="CMA267" s="691"/>
      <c r="CMB267" s="651"/>
      <c r="CMC267" s="691"/>
      <c r="CMD267" s="651"/>
      <c r="CME267" s="691"/>
      <c r="CMF267" s="651"/>
      <c r="CMG267" s="691"/>
      <c r="CMH267" s="651"/>
      <c r="CMI267" s="691"/>
      <c r="CMJ267" s="651"/>
      <c r="CMK267" s="691"/>
      <c r="CML267" s="651"/>
      <c r="CMM267" s="691"/>
      <c r="CMN267" s="651"/>
      <c r="CMO267" s="691"/>
      <c r="CMP267" s="651"/>
      <c r="CMQ267" s="691"/>
      <c r="CMR267" s="651"/>
      <c r="CMS267" s="691"/>
      <c r="CMT267" s="651"/>
      <c r="CMU267" s="691"/>
      <c r="CMV267" s="651"/>
      <c r="CMW267" s="691"/>
      <c r="CMX267" s="651"/>
      <c r="CMY267" s="691"/>
      <c r="CMZ267" s="651"/>
      <c r="CNA267" s="691"/>
      <c r="CNB267" s="651"/>
      <c r="CNC267" s="691"/>
      <c r="CND267" s="651"/>
      <c r="CNE267" s="691"/>
      <c r="CNF267" s="651"/>
      <c r="CNG267" s="691"/>
      <c r="CNH267" s="651"/>
      <c r="CNI267" s="691"/>
      <c r="CNJ267" s="651"/>
      <c r="CNK267" s="691"/>
      <c r="CNL267" s="651"/>
      <c r="CNM267" s="691"/>
      <c r="CNN267" s="651"/>
      <c r="CNO267" s="691"/>
      <c r="CNP267" s="651"/>
      <c r="CNQ267" s="691"/>
      <c r="CNR267" s="651"/>
      <c r="CNS267" s="691"/>
      <c r="CNT267" s="651"/>
      <c r="CNU267" s="691"/>
      <c r="CNV267" s="651"/>
      <c r="CNW267" s="691"/>
      <c r="CNX267" s="651"/>
      <c r="CNY267" s="691"/>
      <c r="CNZ267" s="651"/>
      <c r="COA267" s="691"/>
      <c r="COB267" s="651"/>
      <c r="COC267" s="691"/>
      <c r="COD267" s="651"/>
      <c r="COE267" s="691"/>
      <c r="COF267" s="651"/>
      <c r="COG267" s="691"/>
      <c r="COH267" s="651"/>
      <c r="COI267" s="691"/>
      <c r="COJ267" s="651"/>
      <c r="COK267" s="691"/>
      <c r="COL267" s="651"/>
      <c r="COM267" s="691"/>
      <c r="CON267" s="651"/>
      <c r="COO267" s="691"/>
      <c r="COP267" s="651"/>
      <c r="COQ267" s="691"/>
      <c r="COR267" s="651"/>
      <c r="COS267" s="691"/>
      <c r="COT267" s="651"/>
      <c r="COU267" s="691"/>
      <c r="COV267" s="651"/>
      <c r="COW267" s="691"/>
      <c r="COX267" s="651"/>
      <c r="COY267" s="691"/>
      <c r="COZ267" s="651"/>
      <c r="CPA267" s="691"/>
      <c r="CPB267" s="651"/>
      <c r="CPC267" s="691"/>
      <c r="CPD267" s="651"/>
      <c r="CPE267" s="691"/>
      <c r="CPF267" s="651"/>
      <c r="CPG267" s="691"/>
      <c r="CPH267" s="651"/>
      <c r="CPI267" s="691"/>
      <c r="CPJ267" s="651"/>
      <c r="CPK267" s="691"/>
      <c r="CPL267" s="651"/>
      <c r="CPM267" s="691"/>
      <c r="CPN267" s="651"/>
      <c r="CPO267" s="691"/>
      <c r="CPP267" s="651"/>
      <c r="CPQ267" s="691"/>
      <c r="CPR267" s="651"/>
      <c r="CPS267" s="691"/>
      <c r="CPT267" s="651"/>
      <c r="CPU267" s="691"/>
      <c r="CPV267" s="651"/>
      <c r="CPW267" s="691"/>
      <c r="CPX267" s="651"/>
      <c r="CPY267" s="691"/>
      <c r="CPZ267" s="651"/>
      <c r="CQA267" s="691"/>
      <c r="CQB267" s="651"/>
      <c r="CQC267" s="691"/>
      <c r="CQD267" s="651"/>
      <c r="CQE267" s="691"/>
      <c r="CQF267" s="651"/>
      <c r="CQG267" s="691"/>
      <c r="CQH267" s="651"/>
      <c r="CQI267" s="691"/>
      <c r="CQJ267" s="651"/>
      <c r="CQK267" s="691"/>
      <c r="CQL267" s="651"/>
      <c r="CQM267" s="691"/>
      <c r="CQN267" s="651"/>
      <c r="CQO267" s="691"/>
      <c r="CQP267" s="651"/>
      <c r="CQQ267" s="691"/>
      <c r="CQR267" s="651"/>
      <c r="CQS267" s="691"/>
      <c r="CQT267" s="651"/>
      <c r="CQU267" s="691"/>
      <c r="CQV267" s="651"/>
      <c r="CQW267" s="691"/>
      <c r="CQX267" s="651"/>
      <c r="CQY267" s="691"/>
      <c r="CQZ267" s="651"/>
      <c r="CRA267" s="691"/>
      <c r="CRB267" s="651"/>
      <c r="CRC267" s="691"/>
      <c r="CRD267" s="651"/>
      <c r="CRE267" s="691"/>
      <c r="CRF267" s="651"/>
      <c r="CRG267" s="691"/>
      <c r="CRH267" s="651"/>
      <c r="CRI267" s="691"/>
      <c r="CRJ267" s="651"/>
      <c r="CRK267" s="691"/>
      <c r="CRL267" s="651"/>
      <c r="CRM267" s="691"/>
      <c r="CRN267" s="651"/>
      <c r="CRO267" s="691"/>
      <c r="CRP267" s="651"/>
      <c r="CRQ267" s="691"/>
      <c r="CRR267" s="651"/>
      <c r="CRS267" s="691"/>
      <c r="CRT267" s="651"/>
      <c r="CRU267" s="691"/>
      <c r="CRV267" s="651"/>
      <c r="CRW267" s="691"/>
      <c r="CRX267" s="651"/>
      <c r="CRY267" s="691"/>
      <c r="CRZ267" s="651"/>
      <c r="CSA267" s="691"/>
      <c r="CSB267" s="651"/>
      <c r="CSC267" s="691"/>
      <c r="CSD267" s="651"/>
      <c r="CSE267" s="691"/>
      <c r="CSF267" s="651"/>
      <c r="CSG267" s="691"/>
      <c r="CSH267" s="651"/>
      <c r="CSI267" s="691"/>
      <c r="CSJ267" s="651"/>
      <c r="CSK267" s="691"/>
      <c r="CSL267" s="651"/>
      <c r="CSM267" s="691"/>
      <c r="CSN267" s="651"/>
      <c r="CSO267" s="691"/>
      <c r="CSP267" s="651"/>
      <c r="CSQ267" s="691"/>
      <c r="CSR267" s="651"/>
      <c r="CSS267" s="691"/>
      <c r="CST267" s="651"/>
      <c r="CSU267" s="691"/>
      <c r="CSV267" s="651"/>
      <c r="CSW267" s="691"/>
      <c r="CSX267" s="651"/>
      <c r="CSY267" s="691"/>
      <c r="CSZ267" s="651"/>
      <c r="CTA267" s="691"/>
      <c r="CTB267" s="651"/>
      <c r="CTC267" s="691"/>
      <c r="CTD267" s="651"/>
      <c r="CTE267" s="691"/>
      <c r="CTF267" s="651"/>
      <c r="CTG267" s="691"/>
      <c r="CTH267" s="651"/>
      <c r="CTI267" s="691"/>
      <c r="CTJ267" s="651"/>
      <c r="CTK267" s="691"/>
      <c r="CTL267" s="651"/>
      <c r="CTM267" s="691"/>
      <c r="CTN267" s="651"/>
      <c r="CTO267" s="691"/>
      <c r="CTP267" s="651"/>
      <c r="CTQ267" s="691"/>
      <c r="CTR267" s="651"/>
      <c r="CTS267" s="691"/>
      <c r="CTT267" s="651"/>
      <c r="CTU267" s="691"/>
      <c r="CTV267" s="651"/>
      <c r="CTW267" s="691"/>
      <c r="CTX267" s="651"/>
      <c r="CTY267" s="691"/>
      <c r="CTZ267" s="651"/>
      <c r="CUA267" s="691"/>
      <c r="CUB267" s="651"/>
      <c r="CUC267" s="691"/>
      <c r="CUD267" s="651"/>
      <c r="CUE267" s="691"/>
      <c r="CUF267" s="651"/>
      <c r="CUG267" s="691"/>
      <c r="CUH267" s="651"/>
      <c r="CUI267" s="691"/>
      <c r="CUJ267" s="651"/>
      <c r="CUK267" s="691"/>
      <c r="CUL267" s="651"/>
      <c r="CUM267" s="691"/>
      <c r="CUN267" s="651"/>
      <c r="CUO267" s="691"/>
      <c r="CUP267" s="651"/>
      <c r="CUQ267" s="691"/>
      <c r="CUR267" s="651"/>
      <c r="CUS267" s="691"/>
      <c r="CUT267" s="651"/>
      <c r="CUU267" s="691"/>
      <c r="CUV267" s="651"/>
      <c r="CUW267" s="691"/>
      <c r="CUX267" s="651"/>
      <c r="CUY267" s="691"/>
      <c r="CUZ267" s="651"/>
      <c r="CVA267" s="691"/>
      <c r="CVB267" s="651"/>
      <c r="CVC267" s="691"/>
      <c r="CVD267" s="651"/>
      <c r="CVE267" s="691"/>
      <c r="CVF267" s="651"/>
      <c r="CVG267" s="691"/>
      <c r="CVH267" s="651"/>
      <c r="CVI267" s="691"/>
      <c r="CVJ267" s="651"/>
      <c r="CVK267" s="691"/>
      <c r="CVL267" s="651"/>
      <c r="CVM267" s="691"/>
      <c r="CVN267" s="651"/>
      <c r="CVO267" s="691"/>
      <c r="CVP267" s="651"/>
      <c r="CVQ267" s="691"/>
      <c r="CVR267" s="651"/>
      <c r="CVS267" s="691"/>
      <c r="CVT267" s="651"/>
      <c r="CVU267" s="691"/>
      <c r="CVV267" s="651"/>
      <c r="CVW267" s="691"/>
      <c r="CVX267" s="651"/>
      <c r="CVY267" s="691"/>
      <c r="CVZ267" s="651"/>
      <c r="CWA267" s="691"/>
      <c r="CWB267" s="651"/>
      <c r="CWC267" s="691"/>
      <c r="CWD267" s="651"/>
      <c r="CWE267" s="691"/>
      <c r="CWF267" s="651"/>
      <c r="CWG267" s="691"/>
      <c r="CWH267" s="651"/>
      <c r="CWI267" s="691"/>
      <c r="CWJ267" s="651"/>
      <c r="CWK267" s="691"/>
      <c r="CWL267" s="651"/>
      <c r="CWM267" s="691"/>
      <c r="CWN267" s="651"/>
      <c r="CWO267" s="691"/>
      <c r="CWP267" s="651"/>
      <c r="CWQ267" s="691"/>
      <c r="CWR267" s="651"/>
      <c r="CWS267" s="691"/>
      <c r="CWT267" s="651"/>
      <c r="CWU267" s="691"/>
      <c r="CWV267" s="651"/>
      <c r="CWW267" s="691"/>
      <c r="CWX267" s="651"/>
      <c r="CWY267" s="691"/>
      <c r="CWZ267" s="651"/>
      <c r="CXA267" s="691"/>
      <c r="CXB267" s="651"/>
      <c r="CXC267" s="691"/>
      <c r="CXD267" s="651"/>
      <c r="CXE267" s="691"/>
      <c r="CXF267" s="651"/>
      <c r="CXG267" s="691"/>
      <c r="CXH267" s="651"/>
      <c r="CXI267" s="691"/>
      <c r="CXJ267" s="651"/>
      <c r="CXK267" s="691"/>
      <c r="CXL267" s="651"/>
      <c r="CXM267" s="691"/>
      <c r="CXN267" s="651"/>
      <c r="CXO267" s="691"/>
      <c r="CXP267" s="651"/>
      <c r="CXQ267" s="691"/>
      <c r="CXR267" s="651"/>
      <c r="CXS267" s="691"/>
      <c r="CXT267" s="651"/>
      <c r="CXU267" s="691"/>
      <c r="CXV267" s="651"/>
      <c r="CXW267" s="691"/>
      <c r="CXX267" s="651"/>
      <c r="CXY267" s="691"/>
      <c r="CXZ267" s="651"/>
      <c r="CYA267" s="691"/>
      <c r="CYB267" s="651"/>
      <c r="CYC267" s="691"/>
      <c r="CYD267" s="651"/>
      <c r="CYE267" s="691"/>
      <c r="CYF267" s="651"/>
      <c r="CYG267" s="691"/>
      <c r="CYH267" s="651"/>
      <c r="CYI267" s="691"/>
      <c r="CYJ267" s="651"/>
      <c r="CYK267" s="691"/>
      <c r="CYL267" s="651"/>
      <c r="CYM267" s="691"/>
      <c r="CYN267" s="651"/>
      <c r="CYO267" s="691"/>
      <c r="CYP267" s="651"/>
      <c r="CYQ267" s="691"/>
      <c r="CYR267" s="651"/>
      <c r="CYS267" s="691"/>
      <c r="CYT267" s="651"/>
      <c r="CYU267" s="691"/>
      <c r="CYV267" s="651"/>
      <c r="CYW267" s="691"/>
      <c r="CYX267" s="651"/>
      <c r="CYY267" s="691"/>
      <c r="CYZ267" s="651"/>
      <c r="CZA267" s="691"/>
      <c r="CZB267" s="651"/>
      <c r="CZC267" s="691"/>
      <c r="CZD267" s="651"/>
      <c r="CZE267" s="691"/>
      <c r="CZF267" s="651"/>
      <c r="CZG267" s="691"/>
      <c r="CZH267" s="651"/>
      <c r="CZI267" s="691"/>
      <c r="CZJ267" s="651"/>
      <c r="CZK267" s="691"/>
      <c r="CZL267" s="651"/>
      <c r="CZM267" s="691"/>
      <c r="CZN267" s="651"/>
      <c r="CZO267" s="691"/>
      <c r="CZP267" s="651"/>
      <c r="CZQ267" s="691"/>
      <c r="CZR267" s="651"/>
      <c r="CZS267" s="691"/>
      <c r="CZT267" s="651"/>
      <c r="CZU267" s="691"/>
      <c r="CZV267" s="651"/>
      <c r="CZW267" s="691"/>
      <c r="CZX267" s="651"/>
      <c r="CZY267" s="691"/>
      <c r="CZZ267" s="651"/>
      <c r="DAA267" s="691"/>
      <c r="DAB267" s="651"/>
      <c r="DAC267" s="691"/>
      <c r="DAD267" s="651"/>
      <c r="DAE267" s="691"/>
      <c r="DAF267" s="651"/>
      <c r="DAG267" s="691"/>
      <c r="DAH267" s="651"/>
      <c r="DAI267" s="691"/>
      <c r="DAJ267" s="651"/>
      <c r="DAK267" s="691"/>
      <c r="DAL267" s="651"/>
      <c r="DAM267" s="691"/>
      <c r="DAN267" s="651"/>
      <c r="DAO267" s="691"/>
      <c r="DAP267" s="651"/>
      <c r="DAQ267" s="691"/>
      <c r="DAR267" s="651"/>
      <c r="DAS267" s="691"/>
      <c r="DAT267" s="651"/>
      <c r="DAU267" s="691"/>
      <c r="DAV267" s="651"/>
      <c r="DAW267" s="691"/>
      <c r="DAX267" s="651"/>
      <c r="DAY267" s="691"/>
      <c r="DAZ267" s="651"/>
      <c r="DBA267" s="691"/>
      <c r="DBB267" s="651"/>
      <c r="DBC267" s="691"/>
      <c r="DBD267" s="651"/>
      <c r="DBE267" s="691"/>
      <c r="DBF267" s="651"/>
      <c r="DBG267" s="691"/>
      <c r="DBH267" s="651"/>
      <c r="DBI267" s="691"/>
      <c r="DBJ267" s="651"/>
      <c r="DBK267" s="691"/>
      <c r="DBL267" s="651"/>
      <c r="DBM267" s="691"/>
      <c r="DBN267" s="651"/>
      <c r="DBO267" s="691"/>
      <c r="DBP267" s="651"/>
      <c r="DBQ267" s="691"/>
      <c r="DBR267" s="651"/>
      <c r="DBS267" s="691"/>
      <c r="DBT267" s="651"/>
      <c r="DBU267" s="691"/>
      <c r="DBV267" s="651"/>
      <c r="DBW267" s="691"/>
      <c r="DBX267" s="651"/>
      <c r="DBY267" s="691"/>
      <c r="DBZ267" s="651"/>
      <c r="DCA267" s="691"/>
      <c r="DCB267" s="651"/>
      <c r="DCC267" s="691"/>
      <c r="DCD267" s="651"/>
      <c r="DCE267" s="691"/>
      <c r="DCF267" s="651"/>
      <c r="DCG267" s="691"/>
      <c r="DCH267" s="651"/>
      <c r="DCI267" s="691"/>
      <c r="DCJ267" s="651"/>
      <c r="DCK267" s="691"/>
      <c r="DCL267" s="651"/>
      <c r="DCM267" s="691"/>
      <c r="DCN267" s="651"/>
      <c r="DCO267" s="691"/>
      <c r="DCP267" s="651"/>
      <c r="DCQ267" s="691"/>
      <c r="DCR267" s="651"/>
      <c r="DCS267" s="691"/>
      <c r="DCT267" s="651"/>
      <c r="DCU267" s="691"/>
      <c r="DCV267" s="651"/>
      <c r="DCW267" s="691"/>
      <c r="DCX267" s="651"/>
      <c r="DCY267" s="691"/>
      <c r="DCZ267" s="651"/>
      <c r="DDA267" s="691"/>
      <c r="DDB267" s="651"/>
      <c r="DDC267" s="691"/>
      <c r="DDD267" s="651"/>
      <c r="DDE267" s="691"/>
      <c r="DDF267" s="651"/>
      <c r="DDG267" s="691"/>
      <c r="DDH267" s="651"/>
      <c r="DDI267" s="691"/>
      <c r="DDJ267" s="651"/>
      <c r="DDK267" s="691"/>
      <c r="DDL267" s="651"/>
      <c r="DDM267" s="691"/>
      <c r="DDN267" s="651"/>
      <c r="DDO267" s="691"/>
      <c r="DDP267" s="651"/>
      <c r="DDQ267" s="691"/>
      <c r="DDR267" s="651"/>
      <c r="DDS267" s="691"/>
      <c r="DDT267" s="651"/>
      <c r="DDU267" s="691"/>
      <c r="DDV267" s="651"/>
      <c r="DDW267" s="691"/>
      <c r="DDX267" s="651"/>
      <c r="DDY267" s="691"/>
      <c r="DDZ267" s="651"/>
      <c r="DEA267" s="691"/>
      <c r="DEB267" s="651"/>
      <c r="DEC267" s="691"/>
      <c r="DED267" s="651"/>
      <c r="DEE267" s="691"/>
      <c r="DEF267" s="651"/>
      <c r="DEG267" s="691"/>
      <c r="DEH267" s="651"/>
      <c r="DEI267" s="691"/>
      <c r="DEJ267" s="651"/>
      <c r="DEK267" s="691"/>
      <c r="DEL267" s="651"/>
      <c r="DEM267" s="691"/>
      <c r="DEN267" s="651"/>
      <c r="DEO267" s="691"/>
      <c r="DEP267" s="651"/>
      <c r="DEQ267" s="691"/>
      <c r="DER267" s="651"/>
      <c r="DES267" s="691"/>
      <c r="DET267" s="651"/>
      <c r="DEU267" s="691"/>
      <c r="DEV267" s="651"/>
      <c r="DEW267" s="691"/>
      <c r="DEX267" s="651"/>
      <c r="DEY267" s="691"/>
      <c r="DEZ267" s="651"/>
      <c r="DFA267" s="691"/>
      <c r="DFB267" s="651"/>
      <c r="DFC267" s="691"/>
      <c r="DFD267" s="651"/>
      <c r="DFE267" s="691"/>
      <c r="DFF267" s="651"/>
      <c r="DFG267" s="691"/>
      <c r="DFH267" s="651"/>
      <c r="DFI267" s="691"/>
      <c r="DFJ267" s="651"/>
      <c r="DFK267" s="691"/>
      <c r="DFL267" s="651"/>
      <c r="DFM267" s="691"/>
      <c r="DFN267" s="651"/>
      <c r="DFO267" s="691"/>
      <c r="DFP267" s="651"/>
      <c r="DFQ267" s="691"/>
      <c r="DFR267" s="651"/>
      <c r="DFS267" s="691"/>
      <c r="DFT267" s="651"/>
      <c r="DFU267" s="691"/>
      <c r="DFV267" s="651"/>
      <c r="DFW267" s="691"/>
      <c r="DFX267" s="651"/>
      <c r="DFY267" s="691"/>
      <c r="DFZ267" s="651"/>
      <c r="DGA267" s="691"/>
      <c r="DGB267" s="651"/>
      <c r="DGC267" s="691"/>
      <c r="DGD267" s="651"/>
      <c r="DGE267" s="691"/>
      <c r="DGF267" s="651"/>
      <c r="DGG267" s="691"/>
      <c r="DGH267" s="651"/>
      <c r="DGI267" s="691"/>
      <c r="DGJ267" s="651"/>
      <c r="DGK267" s="691"/>
      <c r="DGL267" s="651"/>
      <c r="DGM267" s="691"/>
      <c r="DGN267" s="651"/>
      <c r="DGO267" s="691"/>
      <c r="DGP267" s="651"/>
      <c r="DGQ267" s="691"/>
      <c r="DGR267" s="651"/>
      <c r="DGS267" s="691"/>
      <c r="DGT267" s="651"/>
      <c r="DGU267" s="691"/>
      <c r="DGV267" s="651"/>
      <c r="DGW267" s="691"/>
      <c r="DGX267" s="651"/>
      <c r="DGY267" s="691"/>
      <c r="DGZ267" s="651"/>
      <c r="DHA267" s="691"/>
      <c r="DHB267" s="651"/>
      <c r="DHC267" s="691"/>
      <c r="DHD267" s="651"/>
      <c r="DHE267" s="691"/>
      <c r="DHF267" s="651"/>
      <c r="DHG267" s="691"/>
      <c r="DHH267" s="651"/>
      <c r="DHI267" s="691"/>
      <c r="DHJ267" s="651"/>
      <c r="DHK267" s="691"/>
      <c r="DHL267" s="651"/>
      <c r="DHM267" s="691"/>
      <c r="DHN267" s="651"/>
      <c r="DHO267" s="691"/>
      <c r="DHP267" s="651"/>
      <c r="DHQ267" s="691"/>
      <c r="DHR267" s="651"/>
      <c r="DHS267" s="691"/>
      <c r="DHT267" s="651"/>
      <c r="DHU267" s="691"/>
      <c r="DHV267" s="651"/>
      <c r="DHW267" s="691"/>
      <c r="DHX267" s="651"/>
      <c r="DHY267" s="691"/>
      <c r="DHZ267" s="651"/>
      <c r="DIA267" s="691"/>
      <c r="DIB267" s="651"/>
      <c r="DIC267" s="691"/>
      <c r="DID267" s="651"/>
      <c r="DIE267" s="691"/>
      <c r="DIF267" s="651"/>
      <c r="DIG267" s="691"/>
      <c r="DIH267" s="651"/>
      <c r="DII267" s="691"/>
      <c r="DIJ267" s="651"/>
      <c r="DIK267" s="691"/>
      <c r="DIL267" s="651"/>
      <c r="DIM267" s="691"/>
      <c r="DIN267" s="651"/>
      <c r="DIO267" s="691"/>
      <c r="DIP267" s="651"/>
      <c r="DIQ267" s="691"/>
      <c r="DIR267" s="651"/>
      <c r="DIS267" s="691"/>
      <c r="DIT267" s="651"/>
      <c r="DIU267" s="691"/>
      <c r="DIV267" s="651"/>
      <c r="DIW267" s="691"/>
      <c r="DIX267" s="651"/>
      <c r="DIY267" s="691"/>
      <c r="DIZ267" s="651"/>
      <c r="DJA267" s="691"/>
      <c r="DJB267" s="651"/>
      <c r="DJC267" s="691"/>
      <c r="DJD267" s="651"/>
      <c r="DJE267" s="691"/>
      <c r="DJF267" s="651"/>
      <c r="DJG267" s="691"/>
      <c r="DJH267" s="651"/>
      <c r="DJI267" s="691"/>
      <c r="DJJ267" s="651"/>
      <c r="DJK267" s="691"/>
      <c r="DJL267" s="651"/>
      <c r="DJM267" s="691"/>
      <c r="DJN267" s="651"/>
      <c r="DJO267" s="691"/>
      <c r="DJP267" s="651"/>
      <c r="DJQ267" s="691"/>
      <c r="DJR267" s="651"/>
      <c r="DJS267" s="691"/>
      <c r="DJT267" s="651"/>
      <c r="DJU267" s="691"/>
      <c r="DJV267" s="651"/>
      <c r="DJW267" s="691"/>
      <c r="DJX267" s="651"/>
      <c r="DJY267" s="691"/>
      <c r="DJZ267" s="651"/>
      <c r="DKA267" s="691"/>
      <c r="DKB267" s="651"/>
      <c r="DKC267" s="691"/>
      <c r="DKD267" s="651"/>
      <c r="DKE267" s="691"/>
      <c r="DKF267" s="651"/>
      <c r="DKG267" s="691"/>
      <c r="DKH267" s="651"/>
      <c r="DKI267" s="691"/>
      <c r="DKJ267" s="651"/>
      <c r="DKK267" s="691"/>
      <c r="DKL267" s="651"/>
      <c r="DKM267" s="691"/>
      <c r="DKN267" s="651"/>
      <c r="DKO267" s="691"/>
      <c r="DKP267" s="651"/>
      <c r="DKQ267" s="691"/>
      <c r="DKR267" s="651"/>
      <c r="DKS267" s="691"/>
      <c r="DKT267" s="651"/>
      <c r="DKU267" s="691"/>
      <c r="DKV267" s="651"/>
      <c r="DKW267" s="691"/>
      <c r="DKX267" s="651"/>
      <c r="DKY267" s="691"/>
      <c r="DKZ267" s="651"/>
      <c r="DLA267" s="691"/>
      <c r="DLB267" s="651"/>
      <c r="DLC267" s="691"/>
      <c r="DLD267" s="651"/>
      <c r="DLE267" s="691"/>
      <c r="DLF267" s="651"/>
      <c r="DLG267" s="691"/>
      <c r="DLH267" s="651"/>
      <c r="DLI267" s="691"/>
      <c r="DLJ267" s="651"/>
      <c r="DLK267" s="691"/>
      <c r="DLL267" s="651"/>
      <c r="DLM267" s="691"/>
      <c r="DLN267" s="651"/>
      <c r="DLO267" s="691"/>
      <c r="DLP267" s="651"/>
      <c r="DLQ267" s="691"/>
      <c r="DLR267" s="651"/>
      <c r="DLS267" s="691"/>
      <c r="DLT267" s="651"/>
      <c r="DLU267" s="691"/>
      <c r="DLV267" s="651"/>
      <c r="DLW267" s="691"/>
      <c r="DLX267" s="651"/>
      <c r="DLY267" s="691"/>
      <c r="DLZ267" s="651"/>
      <c r="DMA267" s="691"/>
      <c r="DMB267" s="651"/>
      <c r="DMC267" s="691"/>
      <c r="DMD267" s="651"/>
      <c r="DME267" s="691"/>
      <c r="DMF267" s="651"/>
      <c r="DMG267" s="691"/>
      <c r="DMH267" s="651"/>
      <c r="DMI267" s="691"/>
      <c r="DMJ267" s="651"/>
      <c r="DMK267" s="691"/>
      <c r="DML267" s="651"/>
      <c r="DMM267" s="691"/>
      <c r="DMN267" s="651"/>
      <c r="DMO267" s="691"/>
      <c r="DMP267" s="651"/>
      <c r="DMQ267" s="691"/>
      <c r="DMR267" s="651"/>
      <c r="DMS267" s="691"/>
      <c r="DMT267" s="651"/>
      <c r="DMU267" s="691"/>
      <c r="DMV267" s="651"/>
      <c r="DMW267" s="691"/>
      <c r="DMX267" s="651"/>
      <c r="DMY267" s="691"/>
      <c r="DMZ267" s="651"/>
      <c r="DNA267" s="691"/>
      <c r="DNB267" s="651"/>
      <c r="DNC267" s="691"/>
      <c r="DND267" s="651"/>
      <c r="DNE267" s="691"/>
      <c r="DNF267" s="651"/>
      <c r="DNG267" s="691"/>
      <c r="DNH267" s="651"/>
      <c r="DNI267" s="691"/>
      <c r="DNJ267" s="651"/>
      <c r="DNK267" s="691"/>
      <c r="DNL267" s="651"/>
      <c r="DNM267" s="691"/>
      <c r="DNN267" s="651"/>
      <c r="DNO267" s="691"/>
      <c r="DNP267" s="651"/>
      <c r="DNQ267" s="691"/>
      <c r="DNR267" s="651"/>
      <c r="DNS267" s="691"/>
      <c r="DNT267" s="651"/>
      <c r="DNU267" s="691"/>
      <c r="DNV267" s="651"/>
      <c r="DNW267" s="691"/>
      <c r="DNX267" s="651"/>
      <c r="DNY267" s="691"/>
      <c r="DNZ267" s="651"/>
      <c r="DOA267" s="691"/>
      <c r="DOB267" s="651"/>
      <c r="DOC267" s="691"/>
      <c r="DOD267" s="651"/>
      <c r="DOE267" s="691"/>
      <c r="DOF267" s="651"/>
      <c r="DOG267" s="691"/>
      <c r="DOH267" s="651"/>
      <c r="DOI267" s="691"/>
      <c r="DOJ267" s="651"/>
      <c r="DOK267" s="691"/>
      <c r="DOL267" s="651"/>
      <c r="DOM267" s="691"/>
      <c r="DON267" s="651"/>
      <c r="DOO267" s="691"/>
      <c r="DOP267" s="651"/>
      <c r="DOQ267" s="691"/>
      <c r="DOR267" s="651"/>
      <c r="DOS267" s="691"/>
      <c r="DOT267" s="651"/>
      <c r="DOU267" s="691"/>
      <c r="DOV267" s="651"/>
      <c r="DOW267" s="691"/>
      <c r="DOX267" s="651"/>
      <c r="DOY267" s="691"/>
      <c r="DOZ267" s="651"/>
      <c r="DPA267" s="691"/>
      <c r="DPB267" s="651"/>
      <c r="DPC267" s="691"/>
      <c r="DPD267" s="651"/>
      <c r="DPE267" s="691"/>
      <c r="DPF267" s="651"/>
      <c r="DPG267" s="691"/>
      <c r="DPH267" s="651"/>
      <c r="DPI267" s="691"/>
      <c r="DPJ267" s="651"/>
      <c r="DPK267" s="691"/>
      <c r="DPL267" s="651"/>
      <c r="DPM267" s="691"/>
      <c r="DPN267" s="651"/>
      <c r="DPO267" s="691"/>
      <c r="DPP267" s="651"/>
      <c r="DPQ267" s="691"/>
      <c r="DPR267" s="651"/>
      <c r="DPS267" s="691"/>
      <c r="DPT267" s="651"/>
      <c r="DPU267" s="691"/>
      <c r="DPV267" s="651"/>
      <c r="DPW267" s="691"/>
      <c r="DPX267" s="651"/>
      <c r="DPY267" s="691"/>
      <c r="DPZ267" s="651"/>
      <c r="DQA267" s="691"/>
      <c r="DQB267" s="651"/>
      <c r="DQC267" s="691"/>
      <c r="DQD267" s="651"/>
      <c r="DQE267" s="691"/>
      <c r="DQF267" s="651"/>
      <c r="DQG267" s="691"/>
      <c r="DQH267" s="651"/>
      <c r="DQI267" s="691"/>
      <c r="DQJ267" s="651"/>
      <c r="DQK267" s="691"/>
      <c r="DQL267" s="651"/>
      <c r="DQM267" s="691"/>
      <c r="DQN267" s="651"/>
      <c r="DQO267" s="691"/>
      <c r="DQP267" s="651"/>
      <c r="DQQ267" s="691"/>
      <c r="DQR267" s="651"/>
      <c r="DQS267" s="691"/>
      <c r="DQT267" s="651"/>
      <c r="DQU267" s="691"/>
      <c r="DQV267" s="651"/>
      <c r="DQW267" s="691"/>
      <c r="DQX267" s="651"/>
      <c r="DQY267" s="691"/>
      <c r="DQZ267" s="651"/>
      <c r="DRA267" s="691"/>
      <c r="DRB267" s="651"/>
      <c r="DRC267" s="691"/>
      <c r="DRD267" s="651"/>
      <c r="DRE267" s="691"/>
      <c r="DRF267" s="651"/>
      <c r="DRG267" s="691"/>
      <c r="DRH267" s="651"/>
      <c r="DRI267" s="691"/>
      <c r="DRJ267" s="651"/>
      <c r="DRK267" s="691"/>
      <c r="DRL267" s="651"/>
      <c r="DRM267" s="691"/>
      <c r="DRN267" s="651"/>
      <c r="DRO267" s="691"/>
      <c r="DRP267" s="651"/>
      <c r="DRQ267" s="691"/>
      <c r="DRR267" s="651"/>
      <c r="DRS267" s="691"/>
      <c r="DRT267" s="651"/>
      <c r="DRU267" s="691"/>
      <c r="DRV267" s="651"/>
      <c r="DRW267" s="691"/>
      <c r="DRX267" s="651"/>
      <c r="DRY267" s="691"/>
      <c r="DRZ267" s="651"/>
      <c r="DSA267" s="691"/>
      <c r="DSB267" s="651"/>
      <c r="DSC267" s="691"/>
      <c r="DSD267" s="651"/>
      <c r="DSE267" s="691"/>
      <c r="DSF267" s="651"/>
      <c r="DSG267" s="691"/>
      <c r="DSH267" s="651"/>
      <c r="DSI267" s="691"/>
      <c r="DSJ267" s="651"/>
      <c r="DSK267" s="691"/>
      <c r="DSL267" s="651"/>
      <c r="DSM267" s="691"/>
      <c r="DSN267" s="651"/>
      <c r="DSO267" s="691"/>
      <c r="DSP267" s="651"/>
      <c r="DSQ267" s="691"/>
      <c r="DSR267" s="651"/>
      <c r="DSS267" s="691"/>
      <c r="DST267" s="651"/>
      <c r="DSU267" s="691"/>
      <c r="DSV267" s="651"/>
      <c r="DSW267" s="691"/>
      <c r="DSX267" s="651"/>
      <c r="DSY267" s="691"/>
      <c r="DSZ267" s="651"/>
      <c r="DTA267" s="691"/>
      <c r="DTB267" s="651"/>
      <c r="DTC267" s="691"/>
      <c r="DTD267" s="651"/>
      <c r="DTE267" s="691"/>
      <c r="DTF267" s="651"/>
      <c r="DTG267" s="691"/>
      <c r="DTH267" s="651"/>
      <c r="DTI267" s="691"/>
      <c r="DTJ267" s="651"/>
      <c r="DTK267" s="691"/>
      <c r="DTL267" s="651"/>
      <c r="DTM267" s="691"/>
      <c r="DTN267" s="651"/>
      <c r="DTO267" s="691"/>
      <c r="DTP267" s="651"/>
      <c r="DTQ267" s="691"/>
      <c r="DTR267" s="651"/>
      <c r="DTS267" s="691"/>
      <c r="DTT267" s="651"/>
      <c r="DTU267" s="691"/>
      <c r="DTV267" s="651"/>
      <c r="DTW267" s="691"/>
      <c r="DTX267" s="651"/>
      <c r="DTY267" s="691"/>
      <c r="DTZ267" s="651"/>
      <c r="DUA267" s="691"/>
      <c r="DUB267" s="651"/>
      <c r="DUC267" s="691"/>
      <c r="DUD267" s="651"/>
      <c r="DUE267" s="691"/>
      <c r="DUF267" s="651"/>
      <c r="DUG267" s="691"/>
      <c r="DUH267" s="651"/>
      <c r="DUI267" s="691"/>
      <c r="DUJ267" s="651"/>
      <c r="DUK267" s="691"/>
      <c r="DUL267" s="651"/>
      <c r="DUM267" s="691"/>
      <c r="DUN267" s="651"/>
      <c r="DUO267" s="691"/>
      <c r="DUP267" s="651"/>
      <c r="DUQ267" s="691"/>
      <c r="DUR267" s="651"/>
      <c r="DUS267" s="691"/>
      <c r="DUT267" s="651"/>
      <c r="DUU267" s="691"/>
      <c r="DUV267" s="651"/>
      <c r="DUW267" s="691"/>
      <c r="DUX267" s="651"/>
      <c r="DUY267" s="691"/>
      <c r="DUZ267" s="651"/>
      <c r="DVA267" s="691"/>
      <c r="DVB267" s="651"/>
      <c r="DVC267" s="691"/>
      <c r="DVD267" s="651"/>
      <c r="DVE267" s="691"/>
      <c r="DVF267" s="651"/>
      <c r="DVG267" s="691"/>
      <c r="DVH267" s="651"/>
      <c r="DVI267" s="691"/>
      <c r="DVJ267" s="651"/>
      <c r="DVK267" s="691"/>
      <c r="DVL267" s="651"/>
      <c r="DVM267" s="691"/>
      <c r="DVN267" s="651"/>
      <c r="DVO267" s="691"/>
      <c r="DVP267" s="651"/>
      <c r="DVQ267" s="691"/>
      <c r="DVR267" s="651"/>
      <c r="DVS267" s="691"/>
      <c r="DVT267" s="651"/>
      <c r="DVU267" s="691"/>
      <c r="DVV267" s="651"/>
      <c r="DVW267" s="691"/>
      <c r="DVX267" s="651"/>
      <c r="DVY267" s="691"/>
      <c r="DVZ267" s="651"/>
      <c r="DWA267" s="691"/>
      <c r="DWB267" s="651"/>
      <c r="DWC267" s="691"/>
      <c r="DWD267" s="651"/>
      <c r="DWE267" s="691"/>
      <c r="DWF267" s="651"/>
      <c r="DWG267" s="691"/>
      <c r="DWH267" s="651"/>
      <c r="DWI267" s="691"/>
      <c r="DWJ267" s="651"/>
      <c r="DWK267" s="691"/>
      <c r="DWL267" s="651"/>
      <c r="DWM267" s="691"/>
      <c r="DWN267" s="651"/>
      <c r="DWO267" s="691"/>
      <c r="DWP267" s="651"/>
      <c r="DWQ267" s="691"/>
      <c r="DWR267" s="651"/>
      <c r="DWS267" s="691"/>
      <c r="DWT267" s="651"/>
      <c r="DWU267" s="691"/>
      <c r="DWV267" s="651"/>
      <c r="DWW267" s="691"/>
      <c r="DWX267" s="651"/>
      <c r="DWY267" s="691"/>
      <c r="DWZ267" s="651"/>
      <c r="DXA267" s="691"/>
      <c r="DXB267" s="651"/>
      <c r="DXC267" s="691"/>
      <c r="DXD267" s="651"/>
      <c r="DXE267" s="691"/>
      <c r="DXF267" s="651"/>
      <c r="DXG267" s="691"/>
      <c r="DXH267" s="651"/>
      <c r="DXI267" s="691"/>
      <c r="DXJ267" s="651"/>
      <c r="DXK267" s="691"/>
      <c r="DXL267" s="651"/>
      <c r="DXM267" s="691"/>
      <c r="DXN267" s="651"/>
      <c r="DXO267" s="691"/>
      <c r="DXP267" s="651"/>
      <c r="DXQ267" s="691"/>
      <c r="DXR267" s="651"/>
      <c r="DXS267" s="691"/>
      <c r="DXT267" s="651"/>
      <c r="DXU267" s="691"/>
      <c r="DXV267" s="651"/>
      <c r="DXW267" s="691"/>
      <c r="DXX267" s="651"/>
      <c r="DXY267" s="691"/>
      <c r="DXZ267" s="651"/>
      <c r="DYA267" s="691"/>
      <c r="DYB267" s="651"/>
      <c r="DYC267" s="691"/>
      <c r="DYD267" s="651"/>
      <c r="DYE267" s="691"/>
      <c r="DYF267" s="651"/>
      <c r="DYG267" s="691"/>
      <c r="DYH267" s="651"/>
      <c r="DYI267" s="691"/>
      <c r="DYJ267" s="651"/>
      <c r="DYK267" s="691"/>
      <c r="DYL267" s="651"/>
      <c r="DYM267" s="691"/>
      <c r="DYN267" s="651"/>
      <c r="DYO267" s="691"/>
      <c r="DYP267" s="651"/>
      <c r="DYQ267" s="691"/>
      <c r="DYR267" s="651"/>
      <c r="DYS267" s="691"/>
      <c r="DYT267" s="651"/>
      <c r="DYU267" s="691"/>
      <c r="DYV267" s="651"/>
      <c r="DYW267" s="691"/>
      <c r="DYX267" s="651"/>
      <c r="DYY267" s="691"/>
      <c r="DYZ267" s="651"/>
      <c r="DZA267" s="691"/>
      <c r="DZB267" s="651"/>
      <c r="DZC267" s="691"/>
      <c r="DZD267" s="651"/>
      <c r="DZE267" s="691"/>
      <c r="DZF267" s="651"/>
      <c r="DZG267" s="691"/>
      <c r="DZH267" s="651"/>
      <c r="DZI267" s="691"/>
      <c r="DZJ267" s="651"/>
      <c r="DZK267" s="691"/>
      <c r="DZL267" s="651"/>
      <c r="DZM267" s="691"/>
      <c r="DZN267" s="651"/>
      <c r="DZO267" s="691"/>
      <c r="DZP267" s="651"/>
      <c r="DZQ267" s="691"/>
      <c r="DZR267" s="651"/>
      <c r="DZS267" s="691"/>
      <c r="DZT267" s="651"/>
      <c r="DZU267" s="691"/>
      <c r="DZV267" s="651"/>
      <c r="DZW267" s="691"/>
      <c r="DZX267" s="651"/>
      <c r="DZY267" s="691"/>
      <c r="DZZ267" s="651"/>
      <c r="EAA267" s="691"/>
      <c r="EAB267" s="651"/>
      <c r="EAC267" s="691"/>
      <c r="EAD267" s="651"/>
      <c r="EAE267" s="691"/>
      <c r="EAF267" s="651"/>
      <c r="EAG267" s="691"/>
      <c r="EAH267" s="651"/>
      <c r="EAI267" s="691"/>
      <c r="EAJ267" s="651"/>
      <c r="EAK267" s="691"/>
      <c r="EAL267" s="651"/>
      <c r="EAM267" s="691"/>
      <c r="EAN267" s="651"/>
      <c r="EAO267" s="691"/>
      <c r="EAP267" s="651"/>
      <c r="EAQ267" s="691"/>
      <c r="EAR267" s="651"/>
      <c r="EAS267" s="691"/>
      <c r="EAT267" s="651"/>
      <c r="EAU267" s="691"/>
      <c r="EAV267" s="651"/>
      <c r="EAW267" s="691"/>
      <c r="EAX267" s="651"/>
      <c r="EAY267" s="691"/>
      <c r="EAZ267" s="651"/>
      <c r="EBA267" s="691"/>
      <c r="EBB267" s="651"/>
      <c r="EBC267" s="691"/>
      <c r="EBD267" s="651"/>
      <c r="EBE267" s="691"/>
      <c r="EBF267" s="651"/>
      <c r="EBG267" s="691"/>
      <c r="EBH267" s="651"/>
      <c r="EBI267" s="691"/>
      <c r="EBJ267" s="651"/>
      <c r="EBK267" s="691"/>
      <c r="EBL267" s="651"/>
      <c r="EBM267" s="691"/>
      <c r="EBN267" s="651"/>
      <c r="EBO267" s="691"/>
      <c r="EBP267" s="651"/>
      <c r="EBQ267" s="691"/>
      <c r="EBR267" s="651"/>
      <c r="EBS267" s="691"/>
      <c r="EBT267" s="651"/>
      <c r="EBU267" s="691"/>
      <c r="EBV267" s="651"/>
      <c r="EBW267" s="691"/>
      <c r="EBX267" s="651"/>
      <c r="EBY267" s="691"/>
      <c r="EBZ267" s="651"/>
      <c r="ECA267" s="691"/>
      <c r="ECB267" s="651"/>
      <c r="ECC267" s="691"/>
      <c r="ECD267" s="651"/>
      <c r="ECE267" s="691"/>
      <c r="ECF267" s="651"/>
      <c r="ECG267" s="691"/>
      <c r="ECH267" s="651"/>
      <c r="ECI267" s="691"/>
      <c r="ECJ267" s="651"/>
      <c r="ECK267" s="691"/>
      <c r="ECL267" s="651"/>
      <c r="ECM267" s="691"/>
      <c r="ECN267" s="651"/>
      <c r="ECO267" s="691"/>
      <c r="ECP267" s="651"/>
      <c r="ECQ267" s="691"/>
      <c r="ECR267" s="651"/>
      <c r="ECS267" s="691"/>
      <c r="ECT267" s="651"/>
      <c r="ECU267" s="691"/>
      <c r="ECV267" s="651"/>
      <c r="ECW267" s="691"/>
      <c r="ECX267" s="651"/>
      <c r="ECY267" s="691"/>
      <c r="ECZ267" s="651"/>
      <c r="EDA267" s="691"/>
      <c r="EDB267" s="651"/>
      <c r="EDC267" s="691"/>
      <c r="EDD267" s="651"/>
      <c r="EDE267" s="691"/>
      <c r="EDF267" s="651"/>
      <c r="EDG267" s="691"/>
      <c r="EDH267" s="651"/>
      <c r="EDI267" s="691"/>
      <c r="EDJ267" s="651"/>
      <c r="EDK267" s="691"/>
      <c r="EDL267" s="651"/>
      <c r="EDM267" s="691"/>
      <c r="EDN267" s="651"/>
      <c r="EDO267" s="691"/>
      <c r="EDP267" s="651"/>
      <c r="EDQ267" s="691"/>
      <c r="EDR267" s="651"/>
      <c r="EDS267" s="691"/>
      <c r="EDT267" s="651"/>
      <c r="EDU267" s="691"/>
      <c r="EDV267" s="651"/>
      <c r="EDW267" s="691"/>
      <c r="EDX267" s="651"/>
      <c r="EDY267" s="691"/>
      <c r="EDZ267" s="651"/>
      <c r="EEA267" s="691"/>
      <c r="EEB267" s="651"/>
      <c r="EEC267" s="691"/>
      <c r="EED267" s="651"/>
      <c r="EEE267" s="691"/>
      <c r="EEF267" s="651"/>
      <c r="EEG267" s="691"/>
      <c r="EEH267" s="651"/>
      <c r="EEI267" s="691"/>
      <c r="EEJ267" s="651"/>
      <c r="EEK267" s="691"/>
      <c r="EEL267" s="651"/>
      <c r="EEM267" s="691"/>
      <c r="EEN267" s="651"/>
      <c r="EEO267" s="691"/>
      <c r="EEP267" s="651"/>
      <c r="EEQ267" s="691"/>
      <c r="EER267" s="651"/>
      <c r="EES267" s="691"/>
      <c r="EET267" s="651"/>
      <c r="EEU267" s="691"/>
      <c r="EEV267" s="651"/>
      <c r="EEW267" s="691"/>
      <c r="EEX267" s="651"/>
      <c r="EEY267" s="691"/>
      <c r="EEZ267" s="651"/>
      <c r="EFA267" s="691"/>
      <c r="EFB267" s="651"/>
      <c r="EFC267" s="691"/>
      <c r="EFD267" s="651"/>
      <c r="EFE267" s="691"/>
      <c r="EFF267" s="651"/>
      <c r="EFG267" s="691"/>
      <c r="EFH267" s="651"/>
      <c r="EFI267" s="691"/>
      <c r="EFJ267" s="651"/>
      <c r="EFK267" s="691"/>
      <c r="EFL267" s="651"/>
      <c r="EFM267" s="691"/>
      <c r="EFN267" s="651"/>
      <c r="EFO267" s="691"/>
      <c r="EFP267" s="651"/>
      <c r="EFQ267" s="691"/>
      <c r="EFR267" s="651"/>
      <c r="EFS267" s="691"/>
      <c r="EFT267" s="651"/>
      <c r="EFU267" s="691"/>
      <c r="EFV267" s="651"/>
      <c r="EFW267" s="691"/>
      <c r="EFX267" s="651"/>
      <c r="EFY267" s="691"/>
      <c r="EFZ267" s="651"/>
      <c r="EGA267" s="691"/>
      <c r="EGB267" s="651"/>
      <c r="EGC267" s="691"/>
      <c r="EGD267" s="651"/>
      <c r="EGE267" s="691"/>
      <c r="EGF267" s="651"/>
      <c r="EGG267" s="691"/>
      <c r="EGH267" s="651"/>
      <c r="EGI267" s="691"/>
      <c r="EGJ267" s="651"/>
      <c r="EGK267" s="691"/>
      <c r="EGL267" s="651"/>
      <c r="EGM267" s="691"/>
      <c r="EGN267" s="651"/>
      <c r="EGO267" s="691"/>
      <c r="EGP267" s="651"/>
      <c r="EGQ267" s="691"/>
      <c r="EGR267" s="651"/>
      <c r="EGS267" s="691"/>
      <c r="EGT267" s="651"/>
      <c r="EGU267" s="691"/>
      <c r="EGV267" s="651"/>
      <c r="EGW267" s="691"/>
      <c r="EGX267" s="651"/>
      <c r="EGY267" s="691"/>
      <c r="EGZ267" s="651"/>
      <c r="EHA267" s="691"/>
      <c r="EHB267" s="651"/>
      <c r="EHC267" s="691"/>
      <c r="EHD267" s="651"/>
      <c r="EHE267" s="691"/>
      <c r="EHF267" s="651"/>
      <c r="EHG267" s="691"/>
      <c r="EHH267" s="651"/>
      <c r="EHI267" s="691"/>
      <c r="EHJ267" s="651"/>
      <c r="EHK267" s="691"/>
      <c r="EHL267" s="651"/>
      <c r="EHM267" s="691"/>
      <c r="EHN267" s="651"/>
      <c r="EHO267" s="691"/>
      <c r="EHP267" s="651"/>
      <c r="EHQ267" s="691"/>
      <c r="EHR267" s="651"/>
      <c r="EHS267" s="691"/>
      <c r="EHT267" s="651"/>
      <c r="EHU267" s="691"/>
      <c r="EHV267" s="651"/>
      <c r="EHW267" s="691"/>
      <c r="EHX267" s="651"/>
      <c r="EHY267" s="691"/>
      <c r="EHZ267" s="651"/>
      <c r="EIA267" s="691"/>
      <c r="EIB267" s="651"/>
      <c r="EIC267" s="691"/>
      <c r="EID267" s="651"/>
      <c r="EIE267" s="691"/>
      <c r="EIF267" s="651"/>
      <c r="EIG267" s="691"/>
      <c r="EIH267" s="651"/>
      <c r="EII267" s="691"/>
      <c r="EIJ267" s="651"/>
      <c r="EIK267" s="691"/>
      <c r="EIL267" s="651"/>
      <c r="EIM267" s="691"/>
      <c r="EIN267" s="651"/>
      <c r="EIO267" s="691"/>
      <c r="EIP267" s="651"/>
      <c r="EIQ267" s="691"/>
      <c r="EIR267" s="651"/>
      <c r="EIS267" s="691"/>
      <c r="EIT267" s="651"/>
      <c r="EIU267" s="691"/>
      <c r="EIV267" s="651"/>
      <c r="EIW267" s="691"/>
      <c r="EIX267" s="651"/>
      <c r="EIY267" s="691"/>
      <c r="EIZ267" s="651"/>
      <c r="EJA267" s="691"/>
      <c r="EJB267" s="651"/>
      <c r="EJC267" s="691"/>
      <c r="EJD267" s="651"/>
      <c r="EJE267" s="691"/>
      <c r="EJF267" s="651"/>
      <c r="EJG267" s="691"/>
      <c r="EJH267" s="651"/>
      <c r="EJI267" s="691"/>
      <c r="EJJ267" s="651"/>
      <c r="EJK267" s="691"/>
      <c r="EJL267" s="651"/>
      <c r="EJM267" s="691"/>
      <c r="EJN267" s="651"/>
      <c r="EJO267" s="691"/>
      <c r="EJP267" s="651"/>
      <c r="EJQ267" s="691"/>
      <c r="EJR267" s="651"/>
      <c r="EJS267" s="691"/>
      <c r="EJT267" s="651"/>
      <c r="EJU267" s="691"/>
      <c r="EJV267" s="651"/>
      <c r="EJW267" s="691"/>
      <c r="EJX267" s="651"/>
      <c r="EJY267" s="691"/>
      <c r="EJZ267" s="651"/>
      <c r="EKA267" s="691"/>
      <c r="EKB267" s="651"/>
      <c r="EKC267" s="691"/>
      <c r="EKD267" s="651"/>
      <c r="EKE267" s="691"/>
      <c r="EKF267" s="651"/>
      <c r="EKG267" s="691"/>
      <c r="EKH267" s="651"/>
      <c r="EKI267" s="691"/>
      <c r="EKJ267" s="651"/>
      <c r="EKK267" s="691"/>
      <c r="EKL267" s="651"/>
      <c r="EKM267" s="691"/>
      <c r="EKN267" s="651"/>
      <c r="EKO267" s="691"/>
      <c r="EKP267" s="651"/>
      <c r="EKQ267" s="691"/>
      <c r="EKR267" s="651"/>
      <c r="EKS267" s="691"/>
      <c r="EKT267" s="651"/>
      <c r="EKU267" s="691"/>
      <c r="EKV267" s="651"/>
      <c r="EKW267" s="691"/>
      <c r="EKX267" s="651"/>
      <c r="EKY267" s="691"/>
      <c r="EKZ267" s="651"/>
      <c r="ELA267" s="691"/>
      <c r="ELB267" s="651"/>
      <c r="ELC267" s="691"/>
      <c r="ELD267" s="651"/>
      <c r="ELE267" s="691"/>
      <c r="ELF267" s="651"/>
      <c r="ELG267" s="691"/>
      <c r="ELH267" s="651"/>
      <c r="ELI267" s="691"/>
      <c r="ELJ267" s="651"/>
      <c r="ELK267" s="691"/>
      <c r="ELL267" s="651"/>
      <c r="ELM267" s="691"/>
      <c r="ELN267" s="651"/>
      <c r="ELO267" s="691"/>
      <c r="ELP267" s="651"/>
      <c r="ELQ267" s="691"/>
      <c r="ELR267" s="651"/>
      <c r="ELS267" s="691"/>
      <c r="ELT267" s="651"/>
      <c r="ELU267" s="691"/>
      <c r="ELV267" s="651"/>
      <c r="ELW267" s="691"/>
      <c r="ELX267" s="651"/>
      <c r="ELY267" s="691"/>
      <c r="ELZ267" s="651"/>
      <c r="EMA267" s="691"/>
      <c r="EMB267" s="651"/>
      <c r="EMC267" s="691"/>
      <c r="EMD267" s="651"/>
      <c r="EME267" s="691"/>
      <c r="EMF267" s="651"/>
      <c r="EMG267" s="691"/>
      <c r="EMH267" s="651"/>
      <c r="EMI267" s="691"/>
      <c r="EMJ267" s="651"/>
      <c r="EMK267" s="691"/>
      <c r="EML267" s="651"/>
      <c r="EMM267" s="691"/>
      <c r="EMN267" s="651"/>
      <c r="EMO267" s="691"/>
      <c r="EMP267" s="651"/>
      <c r="EMQ267" s="691"/>
      <c r="EMR267" s="651"/>
      <c r="EMS267" s="691"/>
      <c r="EMT267" s="651"/>
      <c r="EMU267" s="691"/>
      <c r="EMV267" s="651"/>
      <c r="EMW267" s="691"/>
      <c r="EMX267" s="651"/>
      <c r="EMY267" s="691"/>
      <c r="EMZ267" s="651"/>
      <c r="ENA267" s="691"/>
      <c r="ENB267" s="651"/>
      <c r="ENC267" s="691"/>
      <c r="END267" s="651"/>
      <c r="ENE267" s="691"/>
      <c r="ENF267" s="651"/>
      <c r="ENG267" s="691"/>
      <c r="ENH267" s="651"/>
      <c r="ENI267" s="691"/>
      <c r="ENJ267" s="651"/>
      <c r="ENK267" s="691"/>
      <c r="ENL267" s="651"/>
      <c r="ENM267" s="691"/>
      <c r="ENN267" s="651"/>
      <c r="ENO267" s="691"/>
      <c r="ENP267" s="651"/>
      <c r="ENQ267" s="691"/>
      <c r="ENR267" s="651"/>
      <c r="ENS267" s="691"/>
      <c r="ENT267" s="651"/>
      <c r="ENU267" s="691"/>
      <c r="ENV267" s="651"/>
      <c r="ENW267" s="691"/>
      <c r="ENX267" s="651"/>
      <c r="ENY267" s="691"/>
      <c r="ENZ267" s="651"/>
      <c r="EOA267" s="691"/>
      <c r="EOB267" s="651"/>
      <c r="EOC267" s="691"/>
      <c r="EOD267" s="651"/>
      <c r="EOE267" s="691"/>
      <c r="EOF267" s="651"/>
      <c r="EOG267" s="691"/>
      <c r="EOH267" s="651"/>
      <c r="EOI267" s="691"/>
      <c r="EOJ267" s="651"/>
      <c r="EOK267" s="691"/>
      <c r="EOL267" s="651"/>
      <c r="EOM267" s="691"/>
      <c r="EON267" s="651"/>
      <c r="EOO267" s="691"/>
      <c r="EOP267" s="651"/>
      <c r="EOQ267" s="691"/>
      <c r="EOR267" s="651"/>
      <c r="EOS267" s="691"/>
      <c r="EOT267" s="651"/>
      <c r="EOU267" s="691"/>
      <c r="EOV267" s="651"/>
      <c r="EOW267" s="691"/>
      <c r="EOX267" s="651"/>
      <c r="EOY267" s="691"/>
      <c r="EOZ267" s="651"/>
      <c r="EPA267" s="691"/>
      <c r="EPB267" s="651"/>
      <c r="EPC267" s="691"/>
      <c r="EPD267" s="651"/>
      <c r="EPE267" s="691"/>
      <c r="EPF267" s="651"/>
      <c r="EPG267" s="691"/>
      <c r="EPH267" s="651"/>
      <c r="EPI267" s="691"/>
      <c r="EPJ267" s="651"/>
      <c r="EPK267" s="691"/>
      <c r="EPL267" s="651"/>
      <c r="EPM267" s="691"/>
      <c r="EPN267" s="651"/>
      <c r="EPO267" s="691"/>
      <c r="EPP267" s="651"/>
      <c r="EPQ267" s="691"/>
      <c r="EPR267" s="651"/>
      <c r="EPS267" s="691"/>
      <c r="EPT267" s="651"/>
      <c r="EPU267" s="691"/>
      <c r="EPV267" s="651"/>
      <c r="EPW267" s="691"/>
      <c r="EPX267" s="651"/>
      <c r="EPY267" s="691"/>
      <c r="EPZ267" s="651"/>
      <c r="EQA267" s="691"/>
      <c r="EQB267" s="651"/>
      <c r="EQC267" s="691"/>
      <c r="EQD267" s="651"/>
      <c r="EQE267" s="691"/>
      <c r="EQF267" s="651"/>
      <c r="EQG267" s="691"/>
      <c r="EQH267" s="651"/>
      <c r="EQI267" s="691"/>
      <c r="EQJ267" s="651"/>
      <c r="EQK267" s="691"/>
      <c r="EQL267" s="651"/>
      <c r="EQM267" s="691"/>
      <c r="EQN267" s="651"/>
      <c r="EQO267" s="691"/>
      <c r="EQP267" s="651"/>
      <c r="EQQ267" s="691"/>
      <c r="EQR267" s="651"/>
      <c r="EQS267" s="691"/>
      <c r="EQT267" s="651"/>
      <c r="EQU267" s="691"/>
      <c r="EQV267" s="651"/>
      <c r="EQW267" s="691"/>
      <c r="EQX267" s="651"/>
      <c r="EQY267" s="691"/>
      <c r="EQZ267" s="651"/>
      <c r="ERA267" s="691"/>
      <c r="ERB267" s="651"/>
      <c r="ERC267" s="691"/>
      <c r="ERD267" s="651"/>
      <c r="ERE267" s="691"/>
      <c r="ERF267" s="651"/>
      <c r="ERG267" s="691"/>
      <c r="ERH267" s="651"/>
      <c r="ERI267" s="691"/>
      <c r="ERJ267" s="651"/>
      <c r="ERK267" s="691"/>
      <c r="ERL267" s="651"/>
      <c r="ERM267" s="691"/>
      <c r="ERN267" s="651"/>
      <c r="ERO267" s="691"/>
      <c r="ERP267" s="651"/>
      <c r="ERQ267" s="691"/>
      <c r="ERR267" s="651"/>
      <c r="ERS267" s="691"/>
      <c r="ERT267" s="651"/>
      <c r="ERU267" s="691"/>
      <c r="ERV267" s="651"/>
      <c r="ERW267" s="691"/>
      <c r="ERX267" s="651"/>
      <c r="ERY267" s="691"/>
      <c r="ERZ267" s="651"/>
      <c r="ESA267" s="691"/>
      <c r="ESB267" s="651"/>
      <c r="ESC267" s="691"/>
      <c r="ESD267" s="651"/>
      <c r="ESE267" s="691"/>
      <c r="ESF267" s="651"/>
      <c r="ESG267" s="691"/>
      <c r="ESH267" s="651"/>
      <c r="ESI267" s="691"/>
      <c r="ESJ267" s="651"/>
      <c r="ESK267" s="691"/>
      <c r="ESL267" s="651"/>
      <c r="ESM267" s="691"/>
      <c r="ESN267" s="651"/>
      <c r="ESO267" s="691"/>
      <c r="ESP267" s="651"/>
      <c r="ESQ267" s="691"/>
      <c r="ESR267" s="651"/>
      <c r="ESS267" s="691"/>
      <c r="EST267" s="651"/>
      <c r="ESU267" s="691"/>
      <c r="ESV267" s="651"/>
      <c r="ESW267" s="691"/>
      <c r="ESX267" s="651"/>
      <c r="ESY267" s="691"/>
      <c r="ESZ267" s="651"/>
      <c r="ETA267" s="691"/>
      <c r="ETB267" s="651"/>
      <c r="ETC267" s="691"/>
      <c r="ETD267" s="651"/>
      <c r="ETE267" s="691"/>
      <c r="ETF267" s="651"/>
      <c r="ETG267" s="691"/>
      <c r="ETH267" s="651"/>
      <c r="ETI267" s="691"/>
      <c r="ETJ267" s="651"/>
      <c r="ETK267" s="691"/>
      <c r="ETL267" s="651"/>
      <c r="ETM267" s="691"/>
      <c r="ETN267" s="651"/>
      <c r="ETO267" s="691"/>
      <c r="ETP267" s="651"/>
      <c r="ETQ267" s="691"/>
      <c r="ETR267" s="651"/>
      <c r="ETS267" s="691"/>
      <c r="ETT267" s="651"/>
      <c r="ETU267" s="691"/>
      <c r="ETV267" s="651"/>
      <c r="ETW267" s="691"/>
      <c r="ETX267" s="651"/>
      <c r="ETY267" s="691"/>
      <c r="ETZ267" s="651"/>
      <c r="EUA267" s="691"/>
      <c r="EUB267" s="651"/>
      <c r="EUC267" s="691"/>
      <c r="EUD267" s="651"/>
      <c r="EUE267" s="691"/>
      <c r="EUF267" s="651"/>
      <c r="EUG267" s="691"/>
      <c r="EUH267" s="651"/>
      <c r="EUI267" s="691"/>
      <c r="EUJ267" s="651"/>
      <c r="EUK267" s="691"/>
      <c r="EUL267" s="651"/>
      <c r="EUM267" s="691"/>
      <c r="EUN267" s="651"/>
      <c r="EUO267" s="691"/>
      <c r="EUP267" s="651"/>
      <c r="EUQ267" s="691"/>
      <c r="EUR267" s="651"/>
      <c r="EUS267" s="691"/>
      <c r="EUT267" s="651"/>
      <c r="EUU267" s="691"/>
      <c r="EUV267" s="651"/>
      <c r="EUW267" s="691"/>
      <c r="EUX267" s="651"/>
      <c r="EUY267" s="691"/>
      <c r="EUZ267" s="651"/>
      <c r="EVA267" s="691"/>
      <c r="EVB267" s="651"/>
      <c r="EVC267" s="691"/>
      <c r="EVD267" s="651"/>
      <c r="EVE267" s="691"/>
      <c r="EVF267" s="651"/>
      <c r="EVG267" s="691"/>
      <c r="EVH267" s="651"/>
      <c r="EVI267" s="691"/>
      <c r="EVJ267" s="651"/>
      <c r="EVK267" s="691"/>
      <c r="EVL267" s="651"/>
      <c r="EVM267" s="691"/>
      <c r="EVN267" s="651"/>
      <c r="EVO267" s="691"/>
      <c r="EVP267" s="651"/>
      <c r="EVQ267" s="691"/>
      <c r="EVR267" s="651"/>
      <c r="EVS267" s="691"/>
      <c r="EVT267" s="651"/>
      <c r="EVU267" s="691"/>
      <c r="EVV267" s="651"/>
      <c r="EVW267" s="691"/>
      <c r="EVX267" s="651"/>
      <c r="EVY267" s="691"/>
      <c r="EVZ267" s="651"/>
      <c r="EWA267" s="691"/>
      <c r="EWB267" s="651"/>
      <c r="EWC267" s="691"/>
      <c r="EWD267" s="651"/>
      <c r="EWE267" s="691"/>
      <c r="EWF267" s="651"/>
      <c r="EWG267" s="691"/>
      <c r="EWH267" s="651"/>
      <c r="EWI267" s="691"/>
      <c r="EWJ267" s="651"/>
      <c r="EWK267" s="691"/>
      <c r="EWL267" s="651"/>
      <c r="EWM267" s="691"/>
      <c r="EWN267" s="651"/>
      <c r="EWO267" s="691"/>
      <c r="EWP267" s="651"/>
      <c r="EWQ267" s="691"/>
      <c r="EWR267" s="651"/>
      <c r="EWS267" s="691"/>
      <c r="EWT267" s="651"/>
      <c r="EWU267" s="691"/>
      <c r="EWV267" s="651"/>
      <c r="EWW267" s="691"/>
      <c r="EWX267" s="651"/>
      <c r="EWY267" s="691"/>
      <c r="EWZ267" s="651"/>
      <c r="EXA267" s="691"/>
      <c r="EXB267" s="651"/>
      <c r="EXC267" s="691"/>
      <c r="EXD267" s="651"/>
      <c r="EXE267" s="691"/>
      <c r="EXF267" s="651"/>
      <c r="EXG267" s="691"/>
      <c r="EXH267" s="651"/>
      <c r="EXI267" s="691"/>
      <c r="EXJ267" s="651"/>
      <c r="EXK267" s="691"/>
      <c r="EXL267" s="651"/>
      <c r="EXM267" s="691"/>
      <c r="EXN267" s="651"/>
      <c r="EXO267" s="691"/>
      <c r="EXP267" s="651"/>
      <c r="EXQ267" s="691"/>
      <c r="EXR267" s="651"/>
      <c r="EXS267" s="691"/>
      <c r="EXT267" s="651"/>
      <c r="EXU267" s="691"/>
      <c r="EXV267" s="651"/>
      <c r="EXW267" s="691"/>
      <c r="EXX267" s="651"/>
      <c r="EXY267" s="691"/>
      <c r="EXZ267" s="651"/>
      <c r="EYA267" s="691"/>
      <c r="EYB267" s="651"/>
      <c r="EYC267" s="691"/>
      <c r="EYD267" s="651"/>
      <c r="EYE267" s="691"/>
      <c r="EYF267" s="651"/>
      <c r="EYG267" s="691"/>
      <c r="EYH267" s="651"/>
      <c r="EYI267" s="691"/>
      <c r="EYJ267" s="651"/>
      <c r="EYK267" s="691"/>
      <c r="EYL267" s="651"/>
      <c r="EYM267" s="691"/>
      <c r="EYN267" s="651"/>
      <c r="EYO267" s="691"/>
      <c r="EYP267" s="651"/>
      <c r="EYQ267" s="691"/>
      <c r="EYR267" s="651"/>
      <c r="EYS267" s="691"/>
      <c r="EYT267" s="651"/>
      <c r="EYU267" s="691"/>
      <c r="EYV267" s="651"/>
      <c r="EYW267" s="691"/>
      <c r="EYX267" s="651"/>
      <c r="EYY267" s="691"/>
      <c r="EYZ267" s="651"/>
      <c r="EZA267" s="691"/>
      <c r="EZB267" s="651"/>
      <c r="EZC267" s="691"/>
      <c r="EZD267" s="651"/>
      <c r="EZE267" s="691"/>
      <c r="EZF267" s="651"/>
      <c r="EZG267" s="691"/>
      <c r="EZH267" s="651"/>
      <c r="EZI267" s="691"/>
      <c r="EZJ267" s="651"/>
      <c r="EZK267" s="691"/>
      <c r="EZL267" s="651"/>
      <c r="EZM267" s="691"/>
      <c r="EZN267" s="651"/>
      <c r="EZO267" s="691"/>
      <c r="EZP267" s="651"/>
      <c r="EZQ267" s="691"/>
      <c r="EZR267" s="651"/>
      <c r="EZS267" s="691"/>
      <c r="EZT267" s="651"/>
      <c r="EZU267" s="691"/>
      <c r="EZV267" s="651"/>
      <c r="EZW267" s="691"/>
      <c r="EZX267" s="651"/>
      <c r="EZY267" s="691"/>
      <c r="EZZ267" s="651"/>
      <c r="FAA267" s="691"/>
      <c r="FAB267" s="651"/>
      <c r="FAC267" s="691"/>
      <c r="FAD267" s="651"/>
      <c r="FAE267" s="691"/>
      <c r="FAF267" s="651"/>
      <c r="FAG267" s="691"/>
      <c r="FAH267" s="651"/>
      <c r="FAI267" s="691"/>
      <c r="FAJ267" s="651"/>
      <c r="FAK267" s="691"/>
      <c r="FAL267" s="651"/>
      <c r="FAM267" s="691"/>
      <c r="FAN267" s="651"/>
      <c r="FAO267" s="691"/>
      <c r="FAP267" s="651"/>
      <c r="FAQ267" s="691"/>
      <c r="FAR267" s="651"/>
      <c r="FAS267" s="691"/>
      <c r="FAT267" s="651"/>
      <c r="FAU267" s="691"/>
      <c r="FAV267" s="651"/>
      <c r="FAW267" s="691"/>
      <c r="FAX267" s="651"/>
      <c r="FAY267" s="691"/>
      <c r="FAZ267" s="651"/>
      <c r="FBA267" s="691"/>
      <c r="FBB267" s="651"/>
      <c r="FBC267" s="691"/>
      <c r="FBD267" s="651"/>
      <c r="FBE267" s="691"/>
      <c r="FBF267" s="651"/>
      <c r="FBG267" s="691"/>
      <c r="FBH267" s="651"/>
      <c r="FBI267" s="691"/>
      <c r="FBJ267" s="651"/>
      <c r="FBK267" s="691"/>
      <c r="FBL267" s="651"/>
      <c r="FBM267" s="691"/>
      <c r="FBN267" s="651"/>
      <c r="FBO267" s="691"/>
      <c r="FBP267" s="651"/>
      <c r="FBQ267" s="691"/>
      <c r="FBR267" s="651"/>
      <c r="FBS267" s="691"/>
      <c r="FBT267" s="651"/>
      <c r="FBU267" s="691"/>
      <c r="FBV267" s="651"/>
      <c r="FBW267" s="691"/>
      <c r="FBX267" s="651"/>
      <c r="FBY267" s="691"/>
      <c r="FBZ267" s="651"/>
      <c r="FCA267" s="691"/>
      <c r="FCB267" s="651"/>
      <c r="FCC267" s="691"/>
      <c r="FCD267" s="651"/>
      <c r="FCE267" s="691"/>
      <c r="FCF267" s="651"/>
      <c r="FCG267" s="691"/>
      <c r="FCH267" s="651"/>
      <c r="FCI267" s="691"/>
      <c r="FCJ267" s="651"/>
      <c r="FCK267" s="691"/>
      <c r="FCL267" s="651"/>
      <c r="FCM267" s="691"/>
      <c r="FCN267" s="651"/>
      <c r="FCO267" s="691"/>
      <c r="FCP267" s="651"/>
      <c r="FCQ267" s="691"/>
      <c r="FCR267" s="651"/>
      <c r="FCS267" s="691"/>
      <c r="FCT267" s="651"/>
      <c r="FCU267" s="691"/>
      <c r="FCV267" s="651"/>
      <c r="FCW267" s="691"/>
      <c r="FCX267" s="651"/>
      <c r="FCY267" s="691"/>
      <c r="FCZ267" s="651"/>
      <c r="FDA267" s="691"/>
      <c r="FDB267" s="651"/>
      <c r="FDC267" s="691"/>
      <c r="FDD267" s="651"/>
      <c r="FDE267" s="691"/>
      <c r="FDF267" s="651"/>
      <c r="FDG267" s="691"/>
      <c r="FDH267" s="651"/>
      <c r="FDI267" s="691"/>
      <c r="FDJ267" s="651"/>
      <c r="FDK267" s="691"/>
      <c r="FDL267" s="651"/>
      <c r="FDM267" s="691"/>
      <c r="FDN267" s="651"/>
      <c r="FDO267" s="691"/>
      <c r="FDP267" s="651"/>
      <c r="FDQ267" s="691"/>
      <c r="FDR267" s="651"/>
      <c r="FDS267" s="691"/>
      <c r="FDT267" s="651"/>
      <c r="FDU267" s="691"/>
      <c r="FDV267" s="651"/>
      <c r="FDW267" s="691"/>
      <c r="FDX267" s="651"/>
      <c r="FDY267" s="691"/>
      <c r="FDZ267" s="651"/>
      <c r="FEA267" s="691"/>
      <c r="FEB267" s="651"/>
      <c r="FEC267" s="691"/>
      <c r="FED267" s="651"/>
      <c r="FEE267" s="691"/>
      <c r="FEF267" s="651"/>
      <c r="FEG267" s="691"/>
      <c r="FEH267" s="651"/>
      <c r="FEI267" s="691"/>
      <c r="FEJ267" s="651"/>
      <c r="FEK267" s="691"/>
      <c r="FEL267" s="651"/>
      <c r="FEM267" s="691"/>
      <c r="FEN267" s="651"/>
      <c r="FEO267" s="691"/>
      <c r="FEP267" s="651"/>
      <c r="FEQ267" s="691"/>
      <c r="FER267" s="651"/>
      <c r="FES267" s="691"/>
      <c r="FET267" s="651"/>
      <c r="FEU267" s="691"/>
      <c r="FEV267" s="651"/>
      <c r="FEW267" s="691"/>
      <c r="FEX267" s="651"/>
      <c r="FEY267" s="691"/>
      <c r="FEZ267" s="651"/>
      <c r="FFA267" s="691"/>
      <c r="FFB267" s="651"/>
      <c r="FFC267" s="691"/>
      <c r="FFD267" s="651"/>
      <c r="FFE267" s="691"/>
      <c r="FFF267" s="651"/>
      <c r="FFG267" s="691"/>
      <c r="FFH267" s="651"/>
      <c r="FFI267" s="691"/>
      <c r="FFJ267" s="651"/>
      <c r="FFK267" s="691"/>
      <c r="FFL267" s="651"/>
      <c r="FFM267" s="691"/>
      <c r="FFN267" s="651"/>
      <c r="FFO267" s="691"/>
      <c r="FFP267" s="651"/>
      <c r="FFQ267" s="691"/>
      <c r="FFR267" s="651"/>
      <c r="FFS267" s="691"/>
      <c r="FFT267" s="651"/>
      <c r="FFU267" s="691"/>
      <c r="FFV267" s="651"/>
      <c r="FFW267" s="691"/>
      <c r="FFX267" s="651"/>
      <c r="FFY267" s="691"/>
      <c r="FFZ267" s="651"/>
      <c r="FGA267" s="691"/>
      <c r="FGB267" s="651"/>
      <c r="FGC267" s="691"/>
      <c r="FGD267" s="651"/>
      <c r="FGE267" s="691"/>
      <c r="FGF267" s="651"/>
      <c r="FGG267" s="691"/>
      <c r="FGH267" s="651"/>
      <c r="FGI267" s="691"/>
      <c r="FGJ267" s="651"/>
      <c r="FGK267" s="691"/>
      <c r="FGL267" s="651"/>
      <c r="FGM267" s="691"/>
      <c r="FGN267" s="651"/>
      <c r="FGO267" s="691"/>
      <c r="FGP267" s="651"/>
      <c r="FGQ267" s="691"/>
      <c r="FGR267" s="651"/>
      <c r="FGS267" s="691"/>
      <c r="FGT267" s="651"/>
      <c r="FGU267" s="691"/>
      <c r="FGV267" s="651"/>
      <c r="FGW267" s="691"/>
      <c r="FGX267" s="651"/>
      <c r="FGY267" s="691"/>
      <c r="FGZ267" s="651"/>
      <c r="FHA267" s="691"/>
      <c r="FHB267" s="651"/>
      <c r="FHC267" s="691"/>
      <c r="FHD267" s="651"/>
      <c r="FHE267" s="691"/>
      <c r="FHF267" s="651"/>
      <c r="FHG267" s="691"/>
      <c r="FHH267" s="651"/>
      <c r="FHI267" s="691"/>
      <c r="FHJ267" s="651"/>
      <c r="FHK267" s="691"/>
      <c r="FHL267" s="651"/>
      <c r="FHM267" s="691"/>
      <c r="FHN267" s="651"/>
      <c r="FHO267" s="691"/>
      <c r="FHP267" s="651"/>
      <c r="FHQ267" s="691"/>
      <c r="FHR267" s="651"/>
      <c r="FHS267" s="691"/>
      <c r="FHT267" s="651"/>
      <c r="FHU267" s="691"/>
      <c r="FHV267" s="651"/>
      <c r="FHW267" s="691"/>
      <c r="FHX267" s="651"/>
      <c r="FHY267" s="691"/>
      <c r="FHZ267" s="651"/>
      <c r="FIA267" s="691"/>
      <c r="FIB267" s="651"/>
      <c r="FIC267" s="691"/>
      <c r="FID267" s="651"/>
      <c r="FIE267" s="691"/>
      <c r="FIF267" s="651"/>
      <c r="FIG267" s="691"/>
      <c r="FIH267" s="651"/>
      <c r="FII267" s="691"/>
      <c r="FIJ267" s="651"/>
      <c r="FIK267" s="691"/>
      <c r="FIL267" s="651"/>
      <c r="FIM267" s="691"/>
      <c r="FIN267" s="651"/>
      <c r="FIO267" s="691"/>
      <c r="FIP267" s="651"/>
      <c r="FIQ267" s="691"/>
      <c r="FIR267" s="651"/>
      <c r="FIS267" s="691"/>
      <c r="FIT267" s="651"/>
      <c r="FIU267" s="691"/>
      <c r="FIV267" s="651"/>
      <c r="FIW267" s="691"/>
      <c r="FIX267" s="651"/>
      <c r="FIY267" s="691"/>
      <c r="FIZ267" s="651"/>
      <c r="FJA267" s="691"/>
      <c r="FJB267" s="651"/>
      <c r="FJC267" s="691"/>
      <c r="FJD267" s="651"/>
      <c r="FJE267" s="691"/>
      <c r="FJF267" s="651"/>
      <c r="FJG267" s="691"/>
      <c r="FJH267" s="651"/>
      <c r="FJI267" s="691"/>
      <c r="FJJ267" s="651"/>
      <c r="FJK267" s="691"/>
      <c r="FJL267" s="651"/>
      <c r="FJM267" s="691"/>
      <c r="FJN267" s="651"/>
      <c r="FJO267" s="691"/>
      <c r="FJP267" s="651"/>
      <c r="FJQ267" s="691"/>
      <c r="FJR267" s="651"/>
      <c r="FJS267" s="691"/>
      <c r="FJT267" s="651"/>
      <c r="FJU267" s="691"/>
      <c r="FJV267" s="651"/>
      <c r="FJW267" s="691"/>
      <c r="FJX267" s="651"/>
      <c r="FJY267" s="691"/>
      <c r="FJZ267" s="651"/>
      <c r="FKA267" s="691"/>
      <c r="FKB267" s="651"/>
      <c r="FKC267" s="691"/>
      <c r="FKD267" s="651"/>
      <c r="FKE267" s="691"/>
      <c r="FKF267" s="651"/>
      <c r="FKG267" s="691"/>
      <c r="FKH267" s="651"/>
      <c r="FKI267" s="691"/>
      <c r="FKJ267" s="651"/>
      <c r="FKK267" s="691"/>
      <c r="FKL267" s="651"/>
      <c r="FKM267" s="691"/>
      <c r="FKN267" s="651"/>
      <c r="FKO267" s="691"/>
      <c r="FKP267" s="651"/>
      <c r="FKQ267" s="691"/>
      <c r="FKR267" s="651"/>
      <c r="FKS267" s="691"/>
      <c r="FKT267" s="651"/>
      <c r="FKU267" s="691"/>
      <c r="FKV267" s="651"/>
      <c r="FKW267" s="691"/>
      <c r="FKX267" s="651"/>
      <c r="FKY267" s="691"/>
      <c r="FKZ267" s="651"/>
      <c r="FLA267" s="691"/>
      <c r="FLB267" s="651"/>
      <c r="FLC267" s="691"/>
      <c r="FLD267" s="651"/>
      <c r="FLE267" s="691"/>
      <c r="FLF267" s="651"/>
      <c r="FLG267" s="691"/>
      <c r="FLH267" s="651"/>
      <c r="FLI267" s="691"/>
      <c r="FLJ267" s="651"/>
      <c r="FLK267" s="691"/>
      <c r="FLL267" s="651"/>
      <c r="FLM267" s="691"/>
      <c r="FLN267" s="651"/>
      <c r="FLO267" s="691"/>
      <c r="FLP267" s="651"/>
      <c r="FLQ267" s="691"/>
      <c r="FLR267" s="651"/>
      <c r="FLS267" s="691"/>
      <c r="FLT267" s="651"/>
      <c r="FLU267" s="691"/>
      <c r="FLV267" s="651"/>
      <c r="FLW267" s="691"/>
      <c r="FLX267" s="651"/>
      <c r="FLY267" s="691"/>
      <c r="FLZ267" s="651"/>
      <c r="FMA267" s="691"/>
      <c r="FMB267" s="651"/>
      <c r="FMC267" s="691"/>
      <c r="FMD267" s="651"/>
      <c r="FME267" s="691"/>
      <c r="FMF267" s="651"/>
      <c r="FMG267" s="691"/>
      <c r="FMH267" s="651"/>
      <c r="FMI267" s="691"/>
      <c r="FMJ267" s="651"/>
      <c r="FMK267" s="691"/>
      <c r="FML267" s="651"/>
      <c r="FMM267" s="691"/>
      <c r="FMN267" s="651"/>
      <c r="FMO267" s="691"/>
      <c r="FMP267" s="651"/>
      <c r="FMQ267" s="691"/>
      <c r="FMR267" s="651"/>
      <c r="FMS267" s="691"/>
      <c r="FMT267" s="651"/>
      <c r="FMU267" s="691"/>
      <c r="FMV267" s="651"/>
      <c r="FMW267" s="691"/>
      <c r="FMX267" s="651"/>
      <c r="FMY267" s="691"/>
      <c r="FMZ267" s="651"/>
      <c r="FNA267" s="691"/>
      <c r="FNB267" s="651"/>
      <c r="FNC267" s="691"/>
      <c r="FND267" s="651"/>
      <c r="FNE267" s="691"/>
      <c r="FNF267" s="651"/>
      <c r="FNG267" s="691"/>
      <c r="FNH267" s="651"/>
      <c r="FNI267" s="691"/>
      <c r="FNJ267" s="651"/>
      <c r="FNK267" s="691"/>
      <c r="FNL267" s="651"/>
      <c r="FNM267" s="691"/>
      <c r="FNN267" s="651"/>
      <c r="FNO267" s="691"/>
      <c r="FNP267" s="651"/>
      <c r="FNQ267" s="691"/>
      <c r="FNR267" s="651"/>
      <c r="FNS267" s="691"/>
      <c r="FNT267" s="651"/>
      <c r="FNU267" s="691"/>
      <c r="FNV267" s="651"/>
      <c r="FNW267" s="691"/>
      <c r="FNX267" s="651"/>
      <c r="FNY267" s="691"/>
      <c r="FNZ267" s="651"/>
      <c r="FOA267" s="691"/>
      <c r="FOB267" s="651"/>
      <c r="FOC267" s="691"/>
      <c r="FOD267" s="651"/>
      <c r="FOE267" s="691"/>
      <c r="FOF267" s="651"/>
      <c r="FOG267" s="691"/>
      <c r="FOH267" s="651"/>
      <c r="FOI267" s="691"/>
      <c r="FOJ267" s="651"/>
      <c r="FOK267" s="691"/>
      <c r="FOL267" s="651"/>
      <c r="FOM267" s="691"/>
      <c r="FON267" s="651"/>
      <c r="FOO267" s="691"/>
      <c r="FOP267" s="651"/>
      <c r="FOQ267" s="691"/>
      <c r="FOR267" s="651"/>
      <c r="FOS267" s="691"/>
      <c r="FOT267" s="651"/>
      <c r="FOU267" s="691"/>
      <c r="FOV267" s="651"/>
      <c r="FOW267" s="691"/>
      <c r="FOX267" s="651"/>
      <c r="FOY267" s="691"/>
      <c r="FOZ267" s="651"/>
      <c r="FPA267" s="691"/>
      <c r="FPB267" s="651"/>
      <c r="FPC267" s="691"/>
      <c r="FPD267" s="651"/>
      <c r="FPE267" s="691"/>
      <c r="FPF267" s="651"/>
      <c r="FPG267" s="691"/>
      <c r="FPH267" s="651"/>
      <c r="FPI267" s="691"/>
      <c r="FPJ267" s="651"/>
      <c r="FPK267" s="691"/>
      <c r="FPL267" s="651"/>
      <c r="FPM267" s="691"/>
      <c r="FPN267" s="651"/>
      <c r="FPO267" s="691"/>
      <c r="FPP267" s="651"/>
      <c r="FPQ267" s="691"/>
      <c r="FPR267" s="651"/>
      <c r="FPS267" s="691"/>
      <c r="FPT267" s="651"/>
      <c r="FPU267" s="691"/>
      <c r="FPV267" s="651"/>
      <c r="FPW267" s="691"/>
      <c r="FPX267" s="651"/>
      <c r="FPY267" s="691"/>
      <c r="FPZ267" s="651"/>
      <c r="FQA267" s="691"/>
      <c r="FQB267" s="651"/>
      <c r="FQC267" s="691"/>
      <c r="FQD267" s="651"/>
      <c r="FQE267" s="691"/>
      <c r="FQF267" s="651"/>
      <c r="FQG267" s="691"/>
      <c r="FQH267" s="651"/>
      <c r="FQI267" s="691"/>
      <c r="FQJ267" s="651"/>
      <c r="FQK267" s="691"/>
      <c r="FQL267" s="651"/>
      <c r="FQM267" s="691"/>
      <c r="FQN267" s="651"/>
      <c r="FQO267" s="691"/>
      <c r="FQP267" s="651"/>
      <c r="FQQ267" s="691"/>
      <c r="FQR267" s="651"/>
      <c r="FQS267" s="691"/>
      <c r="FQT267" s="651"/>
      <c r="FQU267" s="691"/>
      <c r="FQV267" s="651"/>
      <c r="FQW267" s="691"/>
      <c r="FQX267" s="651"/>
      <c r="FQY267" s="691"/>
      <c r="FQZ267" s="651"/>
      <c r="FRA267" s="691"/>
      <c r="FRB267" s="651"/>
      <c r="FRC267" s="691"/>
      <c r="FRD267" s="651"/>
      <c r="FRE267" s="691"/>
      <c r="FRF267" s="651"/>
      <c r="FRG267" s="691"/>
      <c r="FRH267" s="651"/>
      <c r="FRI267" s="691"/>
      <c r="FRJ267" s="651"/>
      <c r="FRK267" s="691"/>
      <c r="FRL267" s="651"/>
      <c r="FRM267" s="691"/>
      <c r="FRN267" s="651"/>
      <c r="FRO267" s="691"/>
      <c r="FRP267" s="651"/>
      <c r="FRQ267" s="691"/>
      <c r="FRR267" s="651"/>
      <c r="FRS267" s="691"/>
      <c r="FRT267" s="651"/>
      <c r="FRU267" s="691"/>
      <c r="FRV267" s="651"/>
      <c r="FRW267" s="691"/>
      <c r="FRX267" s="651"/>
      <c r="FRY267" s="691"/>
      <c r="FRZ267" s="651"/>
      <c r="FSA267" s="691"/>
      <c r="FSB267" s="651"/>
      <c r="FSC267" s="691"/>
      <c r="FSD267" s="651"/>
      <c r="FSE267" s="691"/>
      <c r="FSF267" s="651"/>
      <c r="FSG267" s="691"/>
      <c r="FSH267" s="651"/>
      <c r="FSI267" s="691"/>
      <c r="FSJ267" s="651"/>
      <c r="FSK267" s="691"/>
      <c r="FSL267" s="651"/>
      <c r="FSM267" s="691"/>
      <c r="FSN267" s="651"/>
      <c r="FSO267" s="691"/>
      <c r="FSP267" s="651"/>
      <c r="FSQ267" s="691"/>
      <c r="FSR267" s="651"/>
      <c r="FSS267" s="691"/>
      <c r="FST267" s="651"/>
      <c r="FSU267" s="691"/>
      <c r="FSV267" s="651"/>
      <c r="FSW267" s="691"/>
      <c r="FSX267" s="651"/>
      <c r="FSY267" s="691"/>
      <c r="FSZ267" s="651"/>
      <c r="FTA267" s="691"/>
      <c r="FTB267" s="651"/>
      <c r="FTC267" s="691"/>
      <c r="FTD267" s="651"/>
      <c r="FTE267" s="691"/>
      <c r="FTF267" s="651"/>
      <c r="FTG267" s="691"/>
      <c r="FTH267" s="651"/>
      <c r="FTI267" s="691"/>
      <c r="FTJ267" s="651"/>
      <c r="FTK267" s="691"/>
      <c r="FTL267" s="651"/>
      <c r="FTM267" s="691"/>
      <c r="FTN267" s="651"/>
      <c r="FTO267" s="691"/>
      <c r="FTP267" s="651"/>
      <c r="FTQ267" s="691"/>
      <c r="FTR267" s="651"/>
      <c r="FTS267" s="691"/>
      <c r="FTT267" s="651"/>
      <c r="FTU267" s="691"/>
      <c r="FTV267" s="651"/>
      <c r="FTW267" s="691"/>
      <c r="FTX267" s="651"/>
      <c r="FTY267" s="691"/>
      <c r="FTZ267" s="651"/>
      <c r="FUA267" s="691"/>
      <c r="FUB267" s="651"/>
      <c r="FUC267" s="691"/>
      <c r="FUD267" s="651"/>
      <c r="FUE267" s="691"/>
      <c r="FUF267" s="651"/>
      <c r="FUG267" s="691"/>
      <c r="FUH267" s="651"/>
      <c r="FUI267" s="691"/>
      <c r="FUJ267" s="651"/>
      <c r="FUK267" s="691"/>
      <c r="FUL267" s="651"/>
      <c r="FUM267" s="691"/>
      <c r="FUN267" s="651"/>
      <c r="FUO267" s="691"/>
      <c r="FUP267" s="651"/>
      <c r="FUQ267" s="691"/>
      <c r="FUR267" s="651"/>
      <c r="FUS267" s="691"/>
      <c r="FUT267" s="651"/>
      <c r="FUU267" s="691"/>
      <c r="FUV267" s="651"/>
      <c r="FUW267" s="691"/>
      <c r="FUX267" s="651"/>
      <c r="FUY267" s="691"/>
      <c r="FUZ267" s="651"/>
      <c r="FVA267" s="691"/>
      <c r="FVB267" s="651"/>
      <c r="FVC267" s="691"/>
      <c r="FVD267" s="651"/>
      <c r="FVE267" s="691"/>
      <c r="FVF267" s="651"/>
      <c r="FVG267" s="691"/>
      <c r="FVH267" s="651"/>
      <c r="FVI267" s="691"/>
      <c r="FVJ267" s="651"/>
      <c r="FVK267" s="691"/>
      <c r="FVL267" s="651"/>
      <c r="FVM267" s="691"/>
      <c r="FVN267" s="651"/>
      <c r="FVO267" s="691"/>
      <c r="FVP267" s="651"/>
      <c r="FVQ267" s="691"/>
      <c r="FVR267" s="651"/>
      <c r="FVS267" s="691"/>
      <c r="FVT267" s="651"/>
      <c r="FVU267" s="691"/>
      <c r="FVV267" s="651"/>
      <c r="FVW267" s="691"/>
      <c r="FVX267" s="651"/>
      <c r="FVY267" s="691"/>
      <c r="FVZ267" s="651"/>
      <c r="FWA267" s="691"/>
      <c r="FWB267" s="651"/>
      <c r="FWC267" s="691"/>
      <c r="FWD267" s="651"/>
      <c r="FWE267" s="691"/>
      <c r="FWF267" s="651"/>
      <c r="FWG267" s="691"/>
      <c r="FWH267" s="651"/>
      <c r="FWI267" s="691"/>
      <c r="FWJ267" s="651"/>
      <c r="FWK267" s="691"/>
      <c r="FWL267" s="651"/>
      <c r="FWM267" s="691"/>
      <c r="FWN267" s="651"/>
      <c r="FWO267" s="691"/>
      <c r="FWP267" s="651"/>
      <c r="FWQ267" s="691"/>
      <c r="FWR267" s="651"/>
      <c r="FWS267" s="691"/>
      <c r="FWT267" s="651"/>
      <c r="FWU267" s="691"/>
      <c r="FWV267" s="651"/>
      <c r="FWW267" s="691"/>
      <c r="FWX267" s="651"/>
      <c r="FWY267" s="691"/>
      <c r="FWZ267" s="651"/>
      <c r="FXA267" s="691"/>
      <c r="FXB267" s="651"/>
      <c r="FXC267" s="691"/>
      <c r="FXD267" s="651"/>
      <c r="FXE267" s="691"/>
      <c r="FXF267" s="651"/>
      <c r="FXG267" s="691"/>
      <c r="FXH267" s="651"/>
      <c r="FXI267" s="691"/>
      <c r="FXJ267" s="651"/>
      <c r="FXK267" s="691"/>
      <c r="FXL267" s="651"/>
      <c r="FXM267" s="691"/>
      <c r="FXN267" s="651"/>
      <c r="FXO267" s="691"/>
      <c r="FXP267" s="651"/>
      <c r="FXQ267" s="691"/>
      <c r="FXR267" s="651"/>
      <c r="FXS267" s="691"/>
      <c r="FXT267" s="651"/>
      <c r="FXU267" s="691"/>
      <c r="FXV267" s="651"/>
      <c r="FXW267" s="691"/>
      <c r="FXX267" s="651"/>
      <c r="FXY267" s="691"/>
      <c r="FXZ267" s="651"/>
      <c r="FYA267" s="691"/>
      <c r="FYB267" s="651"/>
      <c r="FYC267" s="691"/>
      <c r="FYD267" s="651"/>
      <c r="FYE267" s="691"/>
      <c r="FYF267" s="651"/>
      <c r="FYG267" s="691"/>
      <c r="FYH267" s="651"/>
      <c r="FYI267" s="691"/>
      <c r="FYJ267" s="651"/>
      <c r="FYK267" s="691"/>
      <c r="FYL267" s="651"/>
      <c r="FYM267" s="691"/>
      <c r="FYN267" s="651"/>
      <c r="FYO267" s="691"/>
      <c r="FYP267" s="651"/>
      <c r="FYQ267" s="691"/>
      <c r="FYR267" s="651"/>
      <c r="FYS267" s="691"/>
      <c r="FYT267" s="651"/>
      <c r="FYU267" s="691"/>
      <c r="FYV267" s="651"/>
      <c r="FYW267" s="691"/>
      <c r="FYX267" s="651"/>
      <c r="FYY267" s="691"/>
      <c r="FYZ267" s="651"/>
      <c r="FZA267" s="691"/>
      <c r="FZB267" s="651"/>
      <c r="FZC267" s="691"/>
      <c r="FZD267" s="651"/>
      <c r="FZE267" s="691"/>
      <c r="FZF267" s="651"/>
      <c r="FZG267" s="691"/>
      <c r="FZH267" s="651"/>
      <c r="FZI267" s="691"/>
      <c r="FZJ267" s="651"/>
      <c r="FZK267" s="691"/>
      <c r="FZL267" s="651"/>
      <c r="FZM267" s="691"/>
      <c r="FZN267" s="651"/>
      <c r="FZO267" s="691"/>
      <c r="FZP267" s="651"/>
      <c r="FZQ267" s="691"/>
      <c r="FZR267" s="651"/>
      <c r="FZS267" s="691"/>
      <c r="FZT267" s="651"/>
      <c r="FZU267" s="691"/>
      <c r="FZV267" s="651"/>
      <c r="FZW267" s="691"/>
      <c r="FZX267" s="651"/>
      <c r="FZY267" s="691"/>
      <c r="FZZ267" s="651"/>
      <c r="GAA267" s="691"/>
      <c r="GAB267" s="651"/>
      <c r="GAC267" s="691"/>
      <c r="GAD267" s="651"/>
      <c r="GAE267" s="691"/>
      <c r="GAF267" s="651"/>
      <c r="GAG267" s="691"/>
      <c r="GAH267" s="651"/>
      <c r="GAI267" s="691"/>
      <c r="GAJ267" s="651"/>
      <c r="GAK267" s="691"/>
      <c r="GAL267" s="651"/>
      <c r="GAM267" s="691"/>
      <c r="GAN267" s="651"/>
      <c r="GAO267" s="691"/>
      <c r="GAP267" s="651"/>
      <c r="GAQ267" s="691"/>
      <c r="GAR267" s="651"/>
      <c r="GAS267" s="691"/>
      <c r="GAT267" s="651"/>
      <c r="GAU267" s="691"/>
      <c r="GAV267" s="651"/>
      <c r="GAW267" s="691"/>
      <c r="GAX267" s="651"/>
      <c r="GAY267" s="691"/>
      <c r="GAZ267" s="651"/>
      <c r="GBA267" s="691"/>
      <c r="GBB267" s="651"/>
      <c r="GBC267" s="691"/>
      <c r="GBD267" s="651"/>
      <c r="GBE267" s="691"/>
      <c r="GBF267" s="651"/>
      <c r="GBG267" s="691"/>
      <c r="GBH267" s="651"/>
      <c r="GBI267" s="691"/>
      <c r="GBJ267" s="651"/>
      <c r="GBK267" s="691"/>
      <c r="GBL267" s="651"/>
      <c r="GBM267" s="691"/>
      <c r="GBN267" s="651"/>
      <c r="GBO267" s="691"/>
      <c r="GBP267" s="651"/>
      <c r="GBQ267" s="691"/>
      <c r="GBR267" s="651"/>
      <c r="GBS267" s="691"/>
      <c r="GBT267" s="651"/>
      <c r="GBU267" s="691"/>
      <c r="GBV267" s="651"/>
      <c r="GBW267" s="691"/>
      <c r="GBX267" s="651"/>
      <c r="GBY267" s="691"/>
      <c r="GBZ267" s="651"/>
      <c r="GCA267" s="691"/>
      <c r="GCB267" s="651"/>
      <c r="GCC267" s="691"/>
      <c r="GCD267" s="651"/>
      <c r="GCE267" s="691"/>
      <c r="GCF267" s="651"/>
      <c r="GCG267" s="691"/>
      <c r="GCH267" s="651"/>
      <c r="GCI267" s="691"/>
      <c r="GCJ267" s="651"/>
      <c r="GCK267" s="691"/>
      <c r="GCL267" s="651"/>
      <c r="GCM267" s="691"/>
      <c r="GCN267" s="651"/>
      <c r="GCO267" s="691"/>
      <c r="GCP267" s="651"/>
      <c r="GCQ267" s="691"/>
      <c r="GCR267" s="651"/>
      <c r="GCS267" s="691"/>
      <c r="GCT267" s="651"/>
      <c r="GCU267" s="691"/>
      <c r="GCV267" s="651"/>
      <c r="GCW267" s="691"/>
      <c r="GCX267" s="651"/>
      <c r="GCY267" s="691"/>
      <c r="GCZ267" s="651"/>
      <c r="GDA267" s="691"/>
      <c r="GDB267" s="651"/>
      <c r="GDC267" s="691"/>
      <c r="GDD267" s="651"/>
      <c r="GDE267" s="691"/>
      <c r="GDF267" s="651"/>
      <c r="GDG267" s="691"/>
      <c r="GDH267" s="651"/>
      <c r="GDI267" s="691"/>
      <c r="GDJ267" s="651"/>
      <c r="GDK267" s="691"/>
      <c r="GDL267" s="651"/>
      <c r="GDM267" s="691"/>
      <c r="GDN267" s="651"/>
      <c r="GDO267" s="691"/>
      <c r="GDP267" s="651"/>
      <c r="GDQ267" s="691"/>
      <c r="GDR267" s="651"/>
      <c r="GDS267" s="691"/>
      <c r="GDT267" s="651"/>
      <c r="GDU267" s="691"/>
      <c r="GDV267" s="651"/>
      <c r="GDW267" s="691"/>
      <c r="GDX267" s="651"/>
      <c r="GDY267" s="691"/>
      <c r="GDZ267" s="651"/>
      <c r="GEA267" s="691"/>
      <c r="GEB267" s="651"/>
      <c r="GEC267" s="691"/>
      <c r="GED267" s="651"/>
      <c r="GEE267" s="691"/>
      <c r="GEF267" s="651"/>
      <c r="GEG267" s="691"/>
      <c r="GEH267" s="651"/>
      <c r="GEI267" s="691"/>
      <c r="GEJ267" s="651"/>
      <c r="GEK267" s="691"/>
      <c r="GEL267" s="651"/>
      <c r="GEM267" s="691"/>
      <c r="GEN267" s="651"/>
      <c r="GEO267" s="691"/>
      <c r="GEP267" s="651"/>
      <c r="GEQ267" s="691"/>
      <c r="GER267" s="651"/>
      <c r="GES267" s="691"/>
      <c r="GET267" s="651"/>
      <c r="GEU267" s="691"/>
      <c r="GEV267" s="651"/>
      <c r="GEW267" s="691"/>
      <c r="GEX267" s="651"/>
      <c r="GEY267" s="691"/>
      <c r="GEZ267" s="651"/>
      <c r="GFA267" s="691"/>
      <c r="GFB267" s="651"/>
      <c r="GFC267" s="691"/>
      <c r="GFD267" s="651"/>
      <c r="GFE267" s="691"/>
      <c r="GFF267" s="651"/>
      <c r="GFG267" s="691"/>
      <c r="GFH267" s="651"/>
      <c r="GFI267" s="691"/>
      <c r="GFJ267" s="651"/>
      <c r="GFK267" s="691"/>
      <c r="GFL267" s="651"/>
      <c r="GFM267" s="691"/>
      <c r="GFN267" s="651"/>
      <c r="GFO267" s="691"/>
      <c r="GFP267" s="651"/>
      <c r="GFQ267" s="691"/>
      <c r="GFR267" s="651"/>
      <c r="GFS267" s="691"/>
      <c r="GFT267" s="651"/>
      <c r="GFU267" s="691"/>
      <c r="GFV267" s="651"/>
      <c r="GFW267" s="691"/>
      <c r="GFX267" s="651"/>
      <c r="GFY267" s="691"/>
      <c r="GFZ267" s="651"/>
      <c r="GGA267" s="691"/>
      <c r="GGB267" s="651"/>
      <c r="GGC267" s="691"/>
      <c r="GGD267" s="651"/>
      <c r="GGE267" s="691"/>
      <c r="GGF267" s="651"/>
      <c r="GGG267" s="691"/>
      <c r="GGH267" s="651"/>
      <c r="GGI267" s="691"/>
      <c r="GGJ267" s="651"/>
      <c r="GGK267" s="691"/>
      <c r="GGL267" s="651"/>
      <c r="GGM267" s="691"/>
      <c r="GGN267" s="651"/>
      <c r="GGO267" s="691"/>
      <c r="GGP267" s="651"/>
      <c r="GGQ267" s="691"/>
      <c r="GGR267" s="651"/>
      <c r="GGS267" s="691"/>
      <c r="GGT267" s="651"/>
      <c r="GGU267" s="691"/>
      <c r="GGV267" s="651"/>
      <c r="GGW267" s="691"/>
      <c r="GGX267" s="651"/>
      <c r="GGY267" s="691"/>
      <c r="GGZ267" s="651"/>
      <c r="GHA267" s="691"/>
      <c r="GHB267" s="651"/>
      <c r="GHC267" s="691"/>
      <c r="GHD267" s="651"/>
      <c r="GHE267" s="691"/>
      <c r="GHF267" s="651"/>
      <c r="GHG267" s="691"/>
      <c r="GHH267" s="651"/>
      <c r="GHI267" s="691"/>
      <c r="GHJ267" s="651"/>
      <c r="GHK267" s="691"/>
      <c r="GHL267" s="651"/>
      <c r="GHM267" s="691"/>
      <c r="GHN267" s="651"/>
      <c r="GHO267" s="691"/>
      <c r="GHP267" s="651"/>
      <c r="GHQ267" s="691"/>
      <c r="GHR267" s="651"/>
      <c r="GHS267" s="691"/>
      <c r="GHT267" s="651"/>
      <c r="GHU267" s="691"/>
      <c r="GHV267" s="651"/>
      <c r="GHW267" s="691"/>
      <c r="GHX267" s="651"/>
      <c r="GHY267" s="691"/>
      <c r="GHZ267" s="651"/>
      <c r="GIA267" s="691"/>
      <c r="GIB267" s="651"/>
      <c r="GIC267" s="691"/>
      <c r="GID267" s="651"/>
      <c r="GIE267" s="691"/>
      <c r="GIF267" s="651"/>
      <c r="GIG267" s="691"/>
      <c r="GIH267" s="651"/>
      <c r="GII267" s="691"/>
      <c r="GIJ267" s="651"/>
      <c r="GIK267" s="691"/>
      <c r="GIL267" s="651"/>
      <c r="GIM267" s="691"/>
      <c r="GIN267" s="651"/>
      <c r="GIO267" s="691"/>
      <c r="GIP267" s="651"/>
      <c r="GIQ267" s="691"/>
      <c r="GIR267" s="651"/>
      <c r="GIS267" s="691"/>
      <c r="GIT267" s="651"/>
      <c r="GIU267" s="691"/>
      <c r="GIV267" s="651"/>
      <c r="GIW267" s="691"/>
      <c r="GIX267" s="651"/>
      <c r="GIY267" s="691"/>
      <c r="GIZ267" s="651"/>
      <c r="GJA267" s="691"/>
      <c r="GJB267" s="651"/>
      <c r="GJC267" s="691"/>
      <c r="GJD267" s="651"/>
      <c r="GJE267" s="691"/>
      <c r="GJF267" s="651"/>
      <c r="GJG267" s="691"/>
      <c r="GJH267" s="651"/>
      <c r="GJI267" s="691"/>
      <c r="GJJ267" s="651"/>
      <c r="GJK267" s="691"/>
      <c r="GJL267" s="651"/>
      <c r="GJM267" s="691"/>
      <c r="GJN267" s="651"/>
      <c r="GJO267" s="691"/>
      <c r="GJP267" s="651"/>
      <c r="GJQ267" s="691"/>
      <c r="GJR267" s="651"/>
      <c r="GJS267" s="691"/>
      <c r="GJT267" s="651"/>
      <c r="GJU267" s="691"/>
      <c r="GJV267" s="651"/>
      <c r="GJW267" s="691"/>
      <c r="GJX267" s="651"/>
      <c r="GJY267" s="691"/>
      <c r="GJZ267" s="651"/>
      <c r="GKA267" s="691"/>
      <c r="GKB267" s="651"/>
      <c r="GKC267" s="691"/>
      <c r="GKD267" s="651"/>
      <c r="GKE267" s="691"/>
      <c r="GKF267" s="651"/>
      <c r="GKG267" s="691"/>
      <c r="GKH267" s="651"/>
      <c r="GKI267" s="691"/>
      <c r="GKJ267" s="651"/>
      <c r="GKK267" s="691"/>
      <c r="GKL267" s="651"/>
      <c r="GKM267" s="691"/>
      <c r="GKN267" s="651"/>
      <c r="GKO267" s="691"/>
      <c r="GKP267" s="651"/>
      <c r="GKQ267" s="691"/>
      <c r="GKR267" s="651"/>
      <c r="GKS267" s="691"/>
      <c r="GKT267" s="651"/>
      <c r="GKU267" s="691"/>
      <c r="GKV267" s="651"/>
      <c r="GKW267" s="691"/>
      <c r="GKX267" s="651"/>
      <c r="GKY267" s="691"/>
      <c r="GKZ267" s="651"/>
      <c r="GLA267" s="691"/>
      <c r="GLB267" s="651"/>
      <c r="GLC267" s="691"/>
      <c r="GLD267" s="651"/>
      <c r="GLE267" s="691"/>
      <c r="GLF267" s="651"/>
      <c r="GLG267" s="691"/>
      <c r="GLH267" s="651"/>
      <c r="GLI267" s="691"/>
      <c r="GLJ267" s="651"/>
      <c r="GLK267" s="691"/>
      <c r="GLL267" s="651"/>
      <c r="GLM267" s="691"/>
      <c r="GLN267" s="651"/>
      <c r="GLO267" s="691"/>
      <c r="GLP267" s="651"/>
      <c r="GLQ267" s="691"/>
      <c r="GLR267" s="651"/>
      <c r="GLS267" s="691"/>
      <c r="GLT267" s="651"/>
      <c r="GLU267" s="691"/>
      <c r="GLV267" s="651"/>
      <c r="GLW267" s="691"/>
      <c r="GLX267" s="651"/>
      <c r="GLY267" s="691"/>
      <c r="GLZ267" s="651"/>
      <c r="GMA267" s="691"/>
      <c r="GMB267" s="651"/>
      <c r="GMC267" s="691"/>
      <c r="GMD267" s="651"/>
      <c r="GME267" s="691"/>
      <c r="GMF267" s="651"/>
      <c r="GMG267" s="691"/>
      <c r="GMH267" s="651"/>
      <c r="GMI267" s="691"/>
      <c r="GMJ267" s="651"/>
      <c r="GMK267" s="691"/>
      <c r="GML267" s="651"/>
      <c r="GMM267" s="691"/>
      <c r="GMN267" s="651"/>
      <c r="GMO267" s="691"/>
      <c r="GMP267" s="651"/>
      <c r="GMQ267" s="691"/>
      <c r="GMR267" s="651"/>
      <c r="GMS267" s="691"/>
      <c r="GMT267" s="651"/>
      <c r="GMU267" s="691"/>
      <c r="GMV267" s="651"/>
      <c r="GMW267" s="691"/>
      <c r="GMX267" s="651"/>
      <c r="GMY267" s="691"/>
      <c r="GMZ267" s="651"/>
      <c r="GNA267" s="691"/>
      <c r="GNB267" s="651"/>
      <c r="GNC267" s="691"/>
      <c r="GND267" s="651"/>
      <c r="GNE267" s="691"/>
      <c r="GNF267" s="651"/>
      <c r="GNG267" s="691"/>
      <c r="GNH267" s="651"/>
      <c r="GNI267" s="691"/>
      <c r="GNJ267" s="651"/>
      <c r="GNK267" s="691"/>
      <c r="GNL267" s="651"/>
      <c r="GNM267" s="691"/>
      <c r="GNN267" s="651"/>
      <c r="GNO267" s="691"/>
      <c r="GNP267" s="651"/>
      <c r="GNQ267" s="691"/>
      <c r="GNR267" s="651"/>
      <c r="GNS267" s="691"/>
      <c r="GNT267" s="651"/>
      <c r="GNU267" s="691"/>
      <c r="GNV267" s="651"/>
      <c r="GNW267" s="691"/>
      <c r="GNX267" s="651"/>
      <c r="GNY267" s="691"/>
      <c r="GNZ267" s="651"/>
      <c r="GOA267" s="691"/>
      <c r="GOB267" s="651"/>
      <c r="GOC267" s="691"/>
      <c r="GOD267" s="651"/>
      <c r="GOE267" s="691"/>
      <c r="GOF267" s="651"/>
      <c r="GOG267" s="691"/>
      <c r="GOH267" s="651"/>
      <c r="GOI267" s="691"/>
      <c r="GOJ267" s="651"/>
      <c r="GOK267" s="691"/>
      <c r="GOL267" s="651"/>
      <c r="GOM267" s="691"/>
      <c r="GON267" s="651"/>
      <c r="GOO267" s="691"/>
      <c r="GOP267" s="651"/>
      <c r="GOQ267" s="691"/>
      <c r="GOR267" s="651"/>
      <c r="GOS267" s="691"/>
      <c r="GOT267" s="651"/>
      <c r="GOU267" s="691"/>
      <c r="GOV267" s="651"/>
      <c r="GOW267" s="691"/>
      <c r="GOX267" s="651"/>
      <c r="GOY267" s="691"/>
      <c r="GOZ267" s="651"/>
      <c r="GPA267" s="691"/>
      <c r="GPB267" s="651"/>
      <c r="GPC267" s="691"/>
      <c r="GPD267" s="651"/>
      <c r="GPE267" s="691"/>
      <c r="GPF267" s="651"/>
      <c r="GPG267" s="691"/>
      <c r="GPH267" s="651"/>
      <c r="GPI267" s="691"/>
      <c r="GPJ267" s="651"/>
      <c r="GPK267" s="691"/>
      <c r="GPL267" s="651"/>
      <c r="GPM267" s="691"/>
      <c r="GPN267" s="651"/>
      <c r="GPO267" s="691"/>
      <c r="GPP267" s="651"/>
      <c r="GPQ267" s="691"/>
      <c r="GPR267" s="651"/>
      <c r="GPS267" s="691"/>
      <c r="GPT267" s="651"/>
      <c r="GPU267" s="691"/>
      <c r="GPV267" s="651"/>
      <c r="GPW267" s="691"/>
      <c r="GPX267" s="651"/>
      <c r="GPY267" s="691"/>
      <c r="GPZ267" s="651"/>
      <c r="GQA267" s="691"/>
      <c r="GQB267" s="651"/>
      <c r="GQC267" s="691"/>
      <c r="GQD267" s="651"/>
      <c r="GQE267" s="691"/>
      <c r="GQF267" s="651"/>
      <c r="GQG267" s="691"/>
      <c r="GQH267" s="651"/>
      <c r="GQI267" s="691"/>
      <c r="GQJ267" s="651"/>
      <c r="GQK267" s="691"/>
      <c r="GQL267" s="651"/>
      <c r="GQM267" s="691"/>
      <c r="GQN267" s="651"/>
      <c r="GQO267" s="691"/>
      <c r="GQP267" s="651"/>
      <c r="GQQ267" s="691"/>
      <c r="GQR267" s="651"/>
      <c r="GQS267" s="691"/>
      <c r="GQT267" s="651"/>
      <c r="GQU267" s="691"/>
      <c r="GQV267" s="651"/>
      <c r="GQW267" s="691"/>
      <c r="GQX267" s="651"/>
      <c r="GQY267" s="691"/>
      <c r="GQZ267" s="651"/>
      <c r="GRA267" s="691"/>
      <c r="GRB267" s="651"/>
      <c r="GRC267" s="691"/>
      <c r="GRD267" s="651"/>
      <c r="GRE267" s="691"/>
      <c r="GRF267" s="651"/>
      <c r="GRG267" s="691"/>
      <c r="GRH267" s="651"/>
      <c r="GRI267" s="691"/>
      <c r="GRJ267" s="651"/>
      <c r="GRK267" s="691"/>
      <c r="GRL267" s="651"/>
      <c r="GRM267" s="691"/>
      <c r="GRN267" s="651"/>
      <c r="GRO267" s="691"/>
      <c r="GRP267" s="651"/>
      <c r="GRQ267" s="691"/>
      <c r="GRR267" s="651"/>
      <c r="GRS267" s="691"/>
      <c r="GRT267" s="651"/>
      <c r="GRU267" s="691"/>
      <c r="GRV267" s="651"/>
      <c r="GRW267" s="691"/>
      <c r="GRX267" s="651"/>
      <c r="GRY267" s="691"/>
      <c r="GRZ267" s="651"/>
      <c r="GSA267" s="691"/>
      <c r="GSB267" s="651"/>
      <c r="GSC267" s="691"/>
      <c r="GSD267" s="651"/>
      <c r="GSE267" s="691"/>
      <c r="GSF267" s="651"/>
      <c r="GSG267" s="691"/>
      <c r="GSH267" s="651"/>
      <c r="GSI267" s="691"/>
      <c r="GSJ267" s="651"/>
      <c r="GSK267" s="691"/>
      <c r="GSL267" s="651"/>
      <c r="GSM267" s="691"/>
      <c r="GSN267" s="651"/>
      <c r="GSO267" s="691"/>
      <c r="GSP267" s="651"/>
      <c r="GSQ267" s="691"/>
      <c r="GSR267" s="651"/>
      <c r="GSS267" s="691"/>
      <c r="GST267" s="651"/>
      <c r="GSU267" s="691"/>
      <c r="GSV267" s="651"/>
      <c r="GSW267" s="691"/>
      <c r="GSX267" s="651"/>
      <c r="GSY267" s="691"/>
      <c r="GSZ267" s="651"/>
      <c r="GTA267" s="691"/>
      <c r="GTB267" s="651"/>
      <c r="GTC267" s="691"/>
      <c r="GTD267" s="651"/>
      <c r="GTE267" s="691"/>
      <c r="GTF267" s="651"/>
      <c r="GTG267" s="691"/>
      <c r="GTH267" s="651"/>
      <c r="GTI267" s="691"/>
      <c r="GTJ267" s="651"/>
      <c r="GTK267" s="691"/>
      <c r="GTL267" s="651"/>
      <c r="GTM267" s="691"/>
      <c r="GTN267" s="651"/>
      <c r="GTO267" s="691"/>
      <c r="GTP267" s="651"/>
      <c r="GTQ267" s="691"/>
      <c r="GTR267" s="651"/>
      <c r="GTS267" s="691"/>
      <c r="GTT267" s="651"/>
      <c r="GTU267" s="691"/>
      <c r="GTV267" s="651"/>
      <c r="GTW267" s="691"/>
      <c r="GTX267" s="651"/>
      <c r="GTY267" s="691"/>
      <c r="GTZ267" s="651"/>
      <c r="GUA267" s="691"/>
      <c r="GUB267" s="651"/>
      <c r="GUC267" s="691"/>
      <c r="GUD267" s="651"/>
      <c r="GUE267" s="691"/>
      <c r="GUF267" s="651"/>
      <c r="GUG267" s="691"/>
      <c r="GUH267" s="651"/>
      <c r="GUI267" s="691"/>
      <c r="GUJ267" s="651"/>
      <c r="GUK267" s="691"/>
      <c r="GUL267" s="651"/>
      <c r="GUM267" s="691"/>
      <c r="GUN267" s="651"/>
      <c r="GUO267" s="691"/>
      <c r="GUP267" s="651"/>
      <c r="GUQ267" s="691"/>
      <c r="GUR267" s="651"/>
      <c r="GUS267" s="691"/>
      <c r="GUT267" s="651"/>
      <c r="GUU267" s="691"/>
      <c r="GUV267" s="651"/>
      <c r="GUW267" s="691"/>
      <c r="GUX267" s="651"/>
      <c r="GUY267" s="691"/>
      <c r="GUZ267" s="651"/>
      <c r="GVA267" s="691"/>
      <c r="GVB267" s="651"/>
      <c r="GVC267" s="691"/>
      <c r="GVD267" s="651"/>
      <c r="GVE267" s="691"/>
      <c r="GVF267" s="651"/>
      <c r="GVG267" s="691"/>
      <c r="GVH267" s="651"/>
      <c r="GVI267" s="691"/>
      <c r="GVJ267" s="651"/>
      <c r="GVK267" s="691"/>
      <c r="GVL267" s="651"/>
      <c r="GVM267" s="691"/>
      <c r="GVN267" s="651"/>
      <c r="GVO267" s="691"/>
      <c r="GVP267" s="651"/>
      <c r="GVQ267" s="691"/>
      <c r="GVR267" s="651"/>
      <c r="GVS267" s="691"/>
      <c r="GVT267" s="651"/>
      <c r="GVU267" s="691"/>
      <c r="GVV267" s="651"/>
      <c r="GVW267" s="691"/>
      <c r="GVX267" s="651"/>
      <c r="GVY267" s="691"/>
      <c r="GVZ267" s="651"/>
      <c r="GWA267" s="691"/>
      <c r="GWB267" s="651"/>
      <c r="GWC267" s="691"/>
      <c r="GWD267" s="651"/>
      <c r="GWE267" s="691"/>
      <c r="GWF267" s="651"/>
      <c r="GWG267" s="691"/>
      <c r="GWH267" s="651"/>
      <c r="GWI267" s="691"/>
      <c r="GWJ267" s="651"/>
      <c r="GWK267" s="691"/>
      <c r="GWL267" s="651"/>
      <c r="GWM267" s="691"/>
      <c r="GWN267" s="651"/>
      <c r="GWO267" s="691"/>
      <c r="GWP267" s="651"/>
      <c r="GWQ267" s="691"/>
      <c r="GWR267" s="651"/>
      <c r="GWS267" s="691"/>
      <c r="GWT267" s="651"/>
      <c r="GWU267" s="691"/>
      <c r="GWV267" s="651"/>
      <c r="GWW267" s="691"/>
      <c r="GWX267" s="651"/>
      <c r="GWY267" s="691"/>
      <c r="GWZ267" s="651"/>
      <c r="GXA267" s="691"/>
      <c r="GXB267" s="651"/>
      <c r="GXC267" s="691"/>
      <c r="GXD267" s="651"/>
      <c r="GXE267" s="691"/>
      <c r="GXF267" s="651"/>
      <c r="GXG267" s="691"/>
      <c r="GXH267" s="651"/>
      <c r="GXI267" s="691"/>
      <c r="GXJ267" s="651"/>
      <c r="GXK267" s="691"/>
      <c r="GXL267" s="651"/>
      <c r="GXM267" s="691"/>
      <c r="GXN267" s="651"/>
      <c r="GXO267" s="691"/>
      <c r="GXP267" s="651"/>
      <c r="GXQ267" s="691"/>
      <c r="GXR267" s="651"/>
      <c r="GXS267" s="691"/>
      <c r="GXT267" s="651"/>
      <c r="GXU267" s="691"/>
      <c r="GXV267" s="651"/>
      <c r="GXW267" s="691"/>
      <c r="GXX267" s="651"/>
      <c r="GXY267" s="691"/>
      <c r="GXZ267" s="651"/>
      <c r="GYA267" s="691"/>
      <c r="GYB267" s="651"/>
      <c r="GYC267" s="691"/>
      <c r="GYD267" s="651"/>
      <c r="GYE267" s="691"/>
      <c r="GYF267" s="651"/>
      <c r="GYG267" s="691"/>
      <c r="GYH267" s="651"/>
      <c r="GYI267" s="691"/>
      <c r="GYJ267" s="651"/>
      <c r="GYK267" s="691"/>
      <c r="GYL267" s="651"/>
      <c r="GYM267" s="691"/>
      <c r="GYN267" s="651"/>
      <c r="GYO267" s="691"/>
      <c r="GYP267" s="651"/>
      <c r="GYQ267" s="691"/>
      <c r="GYR267" s="651"/>
      <c r="GYS267" s="691"/>
      <c r="GYT267" s="651"/>
      <c r="GYU267" s="691"/>
      <c r="GYV267" s="651"/>
      <c r="GYW267" s="691"/>
      <c r="GYX267" s="651"/>
      <c r="GYY267" s="691"/>
      <c r="GYZ267" s="651"/>
      <c r="GZA267" s="691"/>
      <c r="GZB267" s="651"/>
      <c r="GZC267" s="691"/>
      <c r="GZD267" s="651"/>
      <c r="GZE267" s="691"/>
      <c r="GZF267" s="651"/>
      <c r="GZG267" s="691"/>
      <c r="GZH267" s="651"/>
      <c r="GZI267" s="691"/>
      <c r="GZJ267" s="651"/>
      <c r="GZK267" s="691"/>
      <c r="GZL267" s="651"/>
      <c r="GZM267" s="691"/>
      <c r="GZN267" s="651"/>
      <c r="GZO267" s="691"/>
      <c r="GZP267" s="651"/>
      <c r="GZQ267" s="691"/>
      <c r="GZR267" s="651"/>
      <c r="GZS267" s="691"/>
      <c r="GZT267" s="651"/>
      <c r="GZU267" s="691"/>
      <c r="GZV267" s="651"/>
      <c r="GZW267" s="691"/>
      <c r="GZX267" s="651"/>
      <c r="GZY267" s="691"/>
      <c r="GZZ267" s="651"/>
      <c r="HAA267" s="691"/>
      <c r="HAB267" s="651"/>
      <c r="HAC267" s="691"/>
      <c r="HAD267" s="651"/>
      <c r="HAE267" s="691"/>
      <c r="HAF267" s="651"/>
      <c r="HAG267" s="691"/>
      <c r="HAH267" s="651"/>
      <c r="HAI267" s="691"/>
      <c r="HAJ267" s="651"/>
      <c r="HAK267" s="691"/>
      <c r="HAL267" s="651"/>
      <c r="HAM267" s="691"/>
      <c r="HAN267" s="651"/>
      <c r="HAO267" s="691"/>
      <c r="HAP267" s="651"/>
      <c r="HAQ267" s="691"/>
      <c r="HAR267" s="651"/>
      <c r="HAS267" s="691"/>
      <c r="HAT267" s="651"/>
      <c r="HAU267" s="691"/>
      <c r="HAV267" s="651"/>
      <c r="HAW267" s="691"/>
      <c r="HAX267" s="651"/>
      <c r="HAY267" s="691"/>
      <c r="HAZ267" s="651"/>
      <c r="HBA267" s="691"/>
      <c r="HBB267" s="651"/>
      <c r="HBC267" s="691"/>
      <c r="HBD267" s="651"/>
      <c r="HBE267" s="691"/>
      <c r="HBF267" s="651"/>
      <c r="HBG267" s="691"/>
      <c r="HBH267" s="651"/>
      <c r="HBI267" s="691"/>
      <c r="HBJ267" s="651"/>
      <c r="HBK267" s="691"/>
      <c r="HBL267" s="651"/>
      <c r="HBM267" s="691"/>
      <c r="HBN267" s="651"/>
      <c r="HBO267" s="691"/>
      <c r="HBP267" s="651"/>
      <c r="HBQ267" s="691"/>
      <c r="HBR267" s="651"/>
      <c r="HBS267" s="691"/>
      <c r="HBT267" s="651"/>
      <c r="HBU267" s="691"/>
      <c r="HBV267" s="651"/>
      <c r="HBW267" s="691"/>
      <c r="HBX267" s="651"/>
      <c r="HBY267" s="691"/>
      <c r="HBZ267" s="651"/>
      <c r="HCA267" s="691"/>
      <c r="HCB267" s="651"/>
      <c r="HCC267" s="691"/>
      <c r="HCD267" s="651"/>
      <c r="HCE267" s="691"/>
      <c r="HCF267" s="651"/>
      <c r="HCG267" s="691"/>
      <c r="HCH267" s="651"/>
      <c r="HCI267" s="691"/>
      <c r="HCJ267" s="651"/>
      <c r="HCK267" s="691"/>
      <c r="HCL267" s="651"/>
      <c r="HCM267" s="691"/>
      <c r="HCN267" s="651"/>
      <c r="HCO267" s="691"/>
      <c r="HCP267" s="651"/>
      <c r="HCQ267" s="691"/>
      <c r="HCR267" s="651"/>
      <c r="HCS267" s="691"/>
      <c r="HCT267" s="651"/>
      <c r="HCU267" s="691"/>
      <c r="HCV267" s="651"/>
      <c r="HCW267" s="691"/>
      <c r="HCX267" s="651"/>
      <c r="HCY267" s="691"/>
      <c r="HCZ267" s="651"/>
      <c r="HDA267" s="691"/>
      <c r="HDB267" s="651"/>
      <c r="HDC267" s="691"/>
      <c r="HDD267" s="651"/>
      <c r="HDE267" s="691"/>
      <c r="HDF267" s="651"/>
      <c r="HDG267" s="691"/>
      <c r="HDH267" s="651"/>
      <c r="HDI267" s="691"/>
      <c r="HDJ267" s="651"/>
      <c r="HDK267" s="691"/>
      <c r="HDL267" s="651"/>
      <c r="HDM267" s="691"/>
      <c r="HDN267" s="651"/>
      <c r="HDO267" s="691"/>
      <c r="HDP267" s="651"/>
      <c r="HDQ267" s="691"/>
      <c r="HDR267" s="651"/>
      <c r="HDS267" s="691"/>
      <c r="HDT267" s="651"/>
      <c r="HDU267" s="691"/>
      <c r="HDV267" s="651"/>
      <c r="HDW267" s="691"/>
      <c r="HDX267" s="651"/>
      <c r="HDY267" s="691"/>
      <c r="HDZ267" s="651"/>
      <c r="HEA267" s="691"/>
      <c r="HEB267" s="651"/>
      <c r="HEC267" s="691"/>
      <c r="HED267" s="651"/>
      <c r="HEE267" s="691"/>
      <c r="HEF267" s="651"/>
      <c r="HEG267" s="691"/>
      <c r="HEH267" s="651"/>
      <c r="HEI267" s="691"/>
      <c r="HEJ267" s="651"/>
      <c r="HEK267" s="691"/>
      <c r="HEL267" s="651"/>
      <c r="HEM267" s="691"/>
      <c r="HEN267" s="651"/>
      <c r="HEO267" s="691"/>
      <c r="HEP267" s="651"/>
      <c r="HEQ267" s="691"/>
      <c r="HER267" s="651"/>
      <c r="HES267" s="691"/>
      <c r="HET267" s="651"/>
      <c r="HEU267" s="691"/>
      <c r="HEV267" s="651"/>
      <c r="HEW267" s="691"/>
      <c r="HEX267" s="651"/>
      <c r="HEY267" s="691"/>
      <c r="HEZ267" s="651"/>
      <c r="HFA267" s="691"/>
      <c r="HFB267" s="651"/>
      <c r="HFC267" s="691"/>
      <c r="HFD267" s="651"/>
      <c r="HFE267" s="691"/>
      <c r="HFF267" s="651"/>
      <c r="HFG267" s="691"/>
      <c r="HFH267" s="651"/>
      <c r="HFI267" s="691"/>
      <c r="HFJ267" s="651"/>
      <c r="HFK267" s="691"/>
      <c r="HFL267" s="651"/>
      <c r="HFM267" s="691"/>
      <c r="HFN267" s="651"/>
      <c r="HFO267" s="691"/>
      <c r="HFP267" s="651"/>
      <c r="HFQ267" s="691"/>
      <c r="HFR267" s="651"/>
      <c r="HFS267" s="691"/>
      <c r="HFT267" s="651"/>
      <c r="HFU267" s="691"/>
      <c r="HFV267" s="651"/>
      <c r="HFW267" s="691"/>
      <c r="HFX267" s="651"/>
      <c r="HFY267" s="691"/>
      <c r="HFZ267" s="651"/>
      <c r="HGA267" s="691"/>
      <c r="HGB267" s="651"/>
      <c r="HGC267" s="691"/>
      <c r="HGD267" s="651"/>
      <c r="HGE267" s="691"/>
      <c r="HGF267" s="651"/>
      <c r="HGG267" s="691"/>
      <c r="HGH267" s="651"/>
      <c r="HGI267" s="691"/>
      <c r="HGJ267" s="651"/>
      <c r="HGK267" s="691"/>
      <c r="HGL267" s="651"/>
      <c r="HGM267" s="691"/>
      <c r="HGN267" s="651"/>
      <c r="HGO267" s="691"/>
      <c r="HGP267" s="651"/>
      <c r="HGQ267" s="691"/>
      <c r="HGR267" s="651"/>
      <c r="HGS267" s="691"/>
      <c r="HGT267" s="651"/>
      <c r="HGU267" s="691"/>
      <c r="HGV267" s="651"/>
      <c r="HGW267" s="691"/>
      <c r="HGX267" s="651"/>
      <c r="HGY267" s="691"/>
      <c r="HGZ267" s="651"/>
      <c r="HHA267" s="691"/>
      <c r="HHB267" s="651"/>
      <c r="HHC267" s="691"/>
      <c r="HHD267" s="651"/>
      <c r="HHE267" s="691"/>
      <c r="HHF267" s="651"/>
      <c r="HHG267" s="691"/>
      <c r="HHH267" s="651"/>
      <c r="HHI267" s="691"/>
      <c r="HHJ267" s="651"/>
      <c r="HHK267" s="691"/>
      <c r="HHL267" s="651"/>
      <c r="HHM267" s="691"/>
      <c r="HHN267" s="651"/>
      <c r="HHO267" s="691"/>
      <c r="HHP267" s="651"/>
      <c r="HHQ267" s="691"/>
      <c r="HHR267" s="651"/>
      <c r="HHS267" s="691"/>
      <c r="HHT267" s="651"/>
      <c r="HHU267" s="691"/>
      <c r="HHV267" s="651"/>
      <c r="HHW267" s="691"/>
      <c r="HHX267" s="651"/>
      <c r="HHY267" s="691"/>
      <c r="HHZ267" s="651"/>
      <c r="HIA267" s="691"/>
      <c r="HIB267" s="651"/>
      <c r="HIC267" s="691"/>
      <c r="HID267" s="651"/>
      <c r="HIE267" s="691"/>
      <c r="HIF267" s="651"/>
      <c r="HIG267" s="691"/>
      <c r="HIH267" s="651"/>
      <c r="HII267" s="691"/>
      <c r="HIJ267" s="651"/>
      <c r="HIK267" s="691"/>
      <c r="HIL267" s="651"/>
      <c r="HIM267" s="691"/>
      <c r="HIN267" s="651"/>
      <c r="HIO267" s="691"/>
      <c r="HIP267" s="651"/>
      <c r="HIQ267" s="691"/>
      <c r="HIR267" s="651"/>
      <c r="HIS267" s="691"/>
      <c r="HIT267" s="651"/>
      <c r="HIU267" s="691"/>
      <c r="HIV267" s="651"/>
      <c r="HIW267" s="691"/>
      <c r="HIX267" s="651"/>
      <c r="HIY267" s="691"/>
      <c r="HIZ267" s="651"/>
      <c r="HJA267" s="691"/>
      <c r="HJB267" s="651"/>
      <c r="HJC267" s="691"/>
      <c r="HJD267" s="651"/>
      <c r="HJE267" s="691"/>
      <c r="HJF267" s="651"/>
      <c r="HJG267" s="691"/>
      <c r="HJH267" s="651"/>
      <c r="HJI267" s="691"/>
      <c r="HJJ267" s="651"/>
      <c r="HJK267" s="691"/>
      <c r="HJL267" s="651"/>
      <c r="HJM267" s="691"/>
      <c r="HJN267" s="651"/>
      <c r="HJO267" s="691"/>
      <c r="HJP267" s="651"/>
      <c r="HJQ267" s="691"/>
      <c r="HJR267" s="651"/>
      <c r="HJS267" s="691"/>
      <c r="HJT267" s="651"/>
      <c r="HJU267" s="691"/>
      <c r="HJV267" s="651"/>
      <c r="HJW267" s="691"/>
      <c r="HJX267" s="651"/>
      <c r="HJY267" s="691"/>
      <c r="HJZ267" s="651"/>
      <c r="HKA267" s="691"/>
      <c r="HKB267" s="651"/>
      <c r="HKC267" s="691"/>
      <c r="HKD267" s="651"/>
      <c r="HKE267" s="691"/>
      <c r="HKF267" s="651"/>
      <c r="HKG267" s="691"/>
      <c r="HKH267" s="651"/>
      <c r="HKI267" s="691"/>
      <c r="HKJ267" s="651"/>
      <c r="HKK267" s="691"/>
      <c r="HKL267" s="651"/>
      <c r="HKM267" s="691"/>
      <c r="HKN267" s="651"/>
      <c r="HKO267" s="691"/>
      <c r="HKP267" s="651"/>
      <c r="HKQ267" s="691"/>
      <c r="HKR267" s="651"/>
      <c r="HKS267" s="691"/>
      <c r="HKT267" s="651"/>
      <c r="HKU267" s="691"/>
      <c r="HKV267" s="651"/>
      <c r="HKW267" s="691"/>
      <c r="HKX267" s="651"/>
      <c r="HKY267" s="691"/>
      <c r="HKZ267" s="651"/>
      <c r="HLA267" s="691"/>
      <c r="HLB267" s="651"/>
      <c r="HLC267" s="691"/>
      <c r="HLD267" s="651"/>
      <c r="HLE267" s="691"/>
      <c r="HLF267" s="651"/>
      <c r="HLG267" s="691"/>
      <c r="HLH267" s="651"/>
      <c r="HLI267" s="691"/>
      <c r="HLJ267" s="651"/>
      <c r="HLK267" s="691"/>
      <c r="HLL267" s="651"/>
      <c r="HLM267" s="691"/>
      <c r="HLN267" s="651"/>
      <c r="HLO267" s="691"/>
      <c r="HLP267" s="651"/>
      <c r="HLQ267" s="691"/>
      <c r="HLR267" s="651"/>
      <c r="HLS267" s="691"/>
      <c r="HLT267" s="651"/>
      <c r="HLU267" s="691"/>
      <c r="HLV267" s="651"/>
      <c r="HLW267" s="691"/>
      <c r="HLX267" s="651"/>
      <c r="HLY267" s="691"/>
      <c r="HLZ267" s="651"/>
      <c r="HMA267" s="691"/>
      <c r="HMB267" s="651"/>
      <c r="HMC267" s="691"/>
      <c r="HMD267" s="651"/>
      <c r="HME267" s="691"/>
      <c r="HMF267" s="651"/>
      <c r="HMG267" s="691"/>
      <c r="HMH267" s="651"/>
      <c r="HMI267" s="691"/>
      <c r="HMJ267" s="651"/>
      <c r="HMK267" s="691"/>
      <c r="HML267" s="651"/>
      <c r="HMM267" s="691"/>
      <c r="HMN267" s="651"/>
      <c r="HMO267" s="691"/>
      <c r="HMP267" s="651"/>
      <c r="HMQ267" s="691"/>
      <c r="HMR267" s="651"/>
      <c r="HMS267" s="691"/>
      <c r="HMT267" s="651"/>
      <c r="HMU267" s="691"/>
      <c r="HMV267" s="651"/>
      <c r="HMW267" s="691"/>
      <c r="HMX267" s="651"/>
      <c r="HMY267" s="691"/>
      <c r="HMZ267" s="651"/>
      <c r="HNA267" s="691"/>
      <c r="HNB267" s="651"/>
      <c r="HNC267" s="691"/>
      <c r="HND267" s="651"/>
      <c r="HNE267" s="691"/>
      <c r="HNF267" s="651"/>
      <c r="HNG267" s="691"/>
      <c r="HNH267" s="651"/>
      <c r="HNI267" s="691"/>
      <c r="HNJ267" s="651"/>
      <c r="HNK267" s="691"/>
      <c r="HNL267" s="651"/>
      <c r="HNM267" s="691"/>
      <c r="HNN267" s="651"/>
      <c r="HNO267" s="691"/>
      <c r="HNP267" s="651"/>
      <c r="HNQ267" s="691"/>
      <c r="HNR267" s="651"/>
      <c r="HNS267" s="691"/>
      <c r="HNT267" s="651"/>
      <c r="HNU267" s="691"/>
      <c r="HNV267" s="651"/>
      <c r="HNW267" s="691"/>
      <c r="HNX267" s="651"/>
      <c r="HNY267" s="691"/>
      <c r="HNZ267" s="651"/>
      <c r="HOA267" s="691"/>
      <c r="HOB267" s="651"/>
      <c r="HOC267" s="691"/>
      <c r="HOD267" s="651"/>
      <c r="HOE267" s="691"/>
      <c r="HOF267" s="651"/>
      <c r="HOG267" s="691"/>
      <c r="HOH267" s="651"/>
      <c r="HOI267" s="691"/>
      <c r="HOJ267" s="651"/>
      <c r="HOK267" s="691"/>
      <c r="HOL267" s="651"/>
      <c r="HOM267" s="691"/>
      <c r="HON267" s="651"/>
      <c r="HOO267" s="691"/>
      <c r="HOP267" s="651"/>
      <c r="HOQ267" s="691"/>
      <c r="HOR267" s="651"/>
      <c r="HOS267" s="691"/>
      <c r="HOT267" s="651"/>
      <c r="HOU267" s="691"/>
      <c r="HOV267" s="651"/>
      <c r="HOW267" s="691"/>
      <c r="HOX267" s="651"/>
      <c r="HOY267" s="691"/>
      <c r="HOZ267" s="651"/>
      <c r="HPA267" s="691"/>
      <c r="HPB267" s="651"/>
      <c r="HPC267" s="691"/>
      <c r="HPD267" s="651"/>
      <c r="HPE267" s="691"/>
      <c r="HPF267" s="651"/>
      <c r="HPG267" s="691"/>
      <c r="HPH267" s="651"/>
      <c r="HPI267" s="691"/>
      <c r="HPJ267" s="651"/>
      <c r="HPK267" s="691"/>
      <c r="HPL267" s="651"/>
      <c r="HPM267" s="691"/>
      <c r="HPN267" s="651"/>
      <c r="HPO267" s="691"/>
      <c r="HPP267" s="651"/>
      <c r="HPQ267" s="691"/>
      <c r="HPR267" s="651"/>
      <c r="HPS267" s="691"/>
      <c r="HPT267" s="651"/>
      <c r="HPU267" s="691"/>
      <c r="HPV267" s="651"/>
      <c r="HPW267" s="691"/>
      <c r="HPX267" s="651"/>
      <c r="HPY267" s="691"/>
      <c r="HPZ267" s="651"/>
      <c r="HQA267" s="691"/>
      <c r="HQB267" s="651"/>
      <c r="HQC267" s="691"/>
      <c r="HQD267" s="651"/>
      <c r="HQE267" s="691"/>
      <c r="HQF267" s="651"/>
      <c r="HQG267" s="691"/>
      <c r="HQH267" s="651"/>
      <c r="HQI267" s="691"/>
      <c r="HQJ267" s="651"/>
      <c r="HQK267" s="691"/>
      <c r="HQL267" s="651"/>
      <c r="HQM267" s="691"/>
      <c r="HQN267" s="651"/>
      <c r="HQO267" s="691"/>
      <c r="HQP267" s="651"/>
      <c r="HQQ267" s="691"/>
      <c r="HQR267" s="651"/>
      <c r="HQS267" s="691"/>
      <c r="HQT267" s="651"/>
      <c r="HQU267" s="691"/>
      <c r="HQV267" s="651"/>
      <c r="HQW267" s="691"/>
      <c r="HQX267" s="651"/>
      <c r="HQY267" s="691"/>
      <c r="HQZ267" s="651"/>
      <c r="HRA267" s="691"/>
      <c r="HRB267" s="651"/>
      <c r="HRC267" s="691"/>
      <c r="HRD267" s="651"/>
      <c r="HRE267" s="691"/>
      <c r="HRF267" s="651"/>
      <c r="HRG267" s="691"/>
      <c r="HRH267" s="651"/>
      <c r="HRI267" s="691"/>
      <c r="HRJ267" s="651"/>
      <c r="HRK267" s="691"/>
      <c r="HRL267" s="651"/>
      <c r="HRM267" s="691"/>
      <c r="HRN267" s="651"/>
      <c r="HRO267" s="691"/>
      <c r="HRP267" s="651"/>
      <c r="HRQ267" s="691"/>
      <c r="HRR267" s="651"/>
      <c r="HRS267" s="691"/>
      <c r="HRT267" s="651"/>
      <c r="HRU267" s="691"/>
      <c r="HRV267" s="651"/>
      <c r="HRW267" s="691"/>
      <c r="HRX267" s="651"/>
      <c r="HRY267" s="691"/>
      <c r="HRZ267" s="651"/>
      <c r="HSA267" s="691"/>
      <c r="HSB267" s="651"/>
      <c r="HSC267" s="691"/>
      <c r="HSD267" s="651"/>
      <c r="HSE267" s="691"/>
      <c r="HSF267" s="651"/>
      <c r="HSG267" s="691"/>
      <c r="HSH267" s="651"/>
      <c r="HSI267" s="691"/>
      <c r="HSJ267" s="651"/>
      <c r="HSK267" s="691"/>
      <c r="HSL267" s="651"/>
      <c r="HSM267" s="691"/>
      <c r="HSN267" s="651"/>
      <c r="HSO267" s="691"/>
      <c r="HSP267" s="651"/>
      <c r="HSQ267" s="691"/>
      <c r="HSR267" s="651"/>
      <c r="HSS267" s="691"/>
      <c r="HST267" s="651"/>
      <c r="HSU267" s="691"/>
      <c r="HSV267" s="651"/>
      <c r="HSW267" s="691"/>
      <c r="HSX267" s="651"/>
      <c r="HSY267" s="691"/>
      <c r="HSZ267" s="651"/>
      <c r="HTA267" s="691"/>
      <c r="HTB267" s="651"/>
      <c r="HTC267" s="691"/>
      <c r="HTD267" s="651"/>
      <c r="HTE267" s="691"/>
      <c r="HTF267" s="651"/>
      <c r="HTG267" s="691"/>
      <c r="HTH267" s="651"/>
      <c r="HTI267" s="691"/>
      <c r="HTJ267" s="651"/>
      <c r="HTK267" s="691"/>
      <c r="HTL267" s="651"/>
      <c r="HTM267" s="691"/>
      <c r="HTN267" s="651"/>
      <c r="HTO267" s="691"/>
      <c r="HTP267" s="651"/>
      <c r="HTQ267" s="691"/>
      <c r="HTR267" s="651"/>
      <c r="HTS267" s="691"/>
      <c r="HTT267" s="651"/>
      <c r="HTU267" s="691"/>
      <c r="HTV267" s="651"/>
      <c r="HTW267" s="691"/>
      <c r="HTX267" s="651"/>
      <c r="HTY267" s="691"/>
      <c r="HTZ267" s="651"/>
      <c r="HUA267" s="691"/>
      <c r="HUB267" s="651"/>
      <c r="HUC267" s="691"/>
      <c r="HUD267" s="651"/>
      <c r="HUE267" s="691"/>
      <c r="HUF267" s="651"/>
      <c r="HUG267" s="691"/>
      <c r="HUH267" s="651"/>
      <c r="HUI267" s="691"/>
      <c r="HUJ267" s="651"/>
      <c r="HUK267" s="691"/>
      <c r="HUL267" s="651"/>
      <c r="HUM267" s="691"/>
      <c r="HUN267" s="651"/>
      <c r="HUO267" s="691"/>
      <c r="HUP267" s="651"/>
      <c r="HUQ267" s="691"/>
      <c r="HUR267" s="651"/>
      <c r="HUS267" s="691"/>
      <c r="HUT267" s="651"/>
      <c r="HUU267" s="691"/>
      <c r="HUV267" s="651"/>
      <c r="HUW267" s="691"/>
      <c r="HUX267" s="651"/>
      <c r="HUY267" s="691"/>
      <c r="HUZ267" s="651"/>
      <c r="HVA267" s="691"/>
      <c r="HVB267" s="651"/>
      <c r="HVC267" s="691"/>
      <c r="HVD267" s="651"/>
      <c r="HVE267" s="691"/>
      <c r="HVF267" s="651"/>
      <c r="HVG267" s="691"/>
      <c r="HVH267" s="651"/>
      <c r="HVI267" s="691"/>
      <c r="HVJ267" s="651"/>
      <c r="HVK267" s="691"/>
      <c r="HVL267" s="651"/>
      <c r="HVM267" s="691"/>
      <c r="HVN267" s="651"/>
      <c r="HVO267" s="691"/>
      <c r="HVP267" s="651"/>
      <c r="HVQ267" s="691"/>
      <c r="HVR267" s="651"/>
      <c r="HVS267" s="691"/>
      <c r="HVT267" s="651"/>
      <c r="HVU267" s="691"/>
      <c r="HVV267" s="651"/>
      <c r="HVW267" s="691"/>
      <c r="HVX267" s="651"/>
      <c r="HVY267" s="691"/>
      <c r="HVZ267" s="651"/>
      <c r="HWA267" s="691"/>
      <c r="HWB267" s="651"/>
      <c r="HWC267" s="691"/>
      <c r="HWD267" s="651"/>
      <c r="HWE267" s="691"/>
      <c r="HWF267" s="651"/>
      <c r="HWG267" s="691"/>
      <c r="HWH267" s="651"/>
      <c r="HWI267" s="691"/>
      <c r="HWJ267" s="651"/>
      <c r="HWK267" s="691"/>
      <c r="HWL267" s="651"/>
      <c r="HWM267" s="691"/>
      <c r="HWN267" s="651"/>
      <c r="HWO267" s="691"/>
      <c r="HWP267" s="651"/>
      <c r="HWQ267" s="691"/>
      <c r="HWR267" s="651"/>
      <c r="HWS267" s="691"/>
      <c r="HWT267" s="651"/>
      <c r="HWU267" s="691"/>
      <c r="HWV267" s="651"/>
      <c r="HWW267" s="691"/>
      <c r="HWX267" s="651"/>
      <c r="HWY267" s="691"/>
      <c r="HWZ267" s="651"/>
      <c r="HXA267" s="691"/>
      <c r="HXB267" s="651"/>
      <c r="HXC267" s="691"/>
      <c r="HXD267" s="651"/>
      <c r="HXE267" s="691"/>
      <c r="HXF267" s="651"/>
      <c r="HXG267" s="691"/>
      <c r="HXH267" s="651"/>
      <c r="HXI267" s="691"/>
      <c r="HXJ267" s="651"/>
      <c r="HXK267" s="691"/>
      <c r="HXL267" s="651"/>
      <c r="HXM267" s="691"/>
      <c r="HXN267" s="651"/>
      <c r="HXO267" s="691"/>
      <c r="HXP267" s="651"/>
      <c r="HXQ267" s="691"/>
      <c r="HXR267" s="651"/>
      <c r="HXS267" s="691"/>
      <c r="HXT267" s="651"/>
      <c r="HXU267" s="691"/>
      <c r="HXV267" s="651"/>
      <c r="HXW267" s="691"/>
      <c r="HXX267" s="651"/>
      <c r="HXY267" s="691"/>
      <c r="HXZ267" s="651"/>
      <c r="HYA267" s="691"/>
      <c r="HYB267" s="651"/>
      <c r="HYC267" s="691"/>
      <c r="HYD267" s="651"/>
      <c r="HYE267" s="691"/>
      <c r="HYF267" s="651"/>
      <c r="HYG267" s="691"/>
      <c r="HYH267" s="651"/>
      <c r="HYI267" s="691"/>
      <c r="HYJ267" s="651"/>
      <c r="HYK267" s="691"/>
      <c r="HYL267" s="651"/>
      <c r="HYM267" s="691"/>
      <c r="HYN267" s="651"/>
      <c r="HYO267" s="691"/>
      <c r="HYP267" s="651"/>
      <c r="HYQ267" s="691"/>
      <c r="HYR267" s="651"/>
      <c r="HYS267" s="691"/>
      <c r="HYT267" s="651"/>
      <c r="HYU267" s="691"/>
      <c r="HYV267" s="651"/>
      <c r="HYW267" s="691"/>
      <c r="HYX267" s="651"/>
      <c r="HYY267" s="691"/>
      <c r="HYZ267" s="651"/>
      <c r="HZA267" s="691"/>
      <c r="HZB267" s="651"/>
      <c r="HZC267" s="691"/>
      <c r="HZD267" s="651"/>
      <c r="HZE267" s="691"/>
      <c r="HZF267" s="651"/>
      <c r="HZG267" s="691"/>
      <c r="HZH267" s="651"/>
      <c r="HZI267" s="691"/>
      <c r="HZJ267" s="651"/>
      <c r="HZK267" s="691"/>
      <c r="HZL267" s="651"/>
      <c r="HZM267" s="691"/>
      <c r="HZN267" s="651"/>
      <c r="HZO267" s="691"/>
      <c r="HZP267" s="651"/>
      <c r="HZQ267" s="691"/>
      <c r="HZR267" s="651"/>
      <c r="HZS267" s="691"/>
      <c r="HZT267" s="651"/>
      <c r="HZU267" s="691"/>
      <c r="HZV267" s="651"/>
      <c r="HZW267" s="691"/>
      <c r="HZX267" s="651"/>
      <c r="HZY267" s="691"/>
      <c r="HZZ267" s="651"/>
      <c r="IAA267" s="691"/>
      <c r="IAB267" s="651"/>
      <c r="IAC267" s="691"/>
      <c r="IAD267" s="651"/>
      <c r="IAE267" s="691"/>
      <c r="IAF267" s="651"/>
      <c r="IAG267" s="691"/>
      <c r="IAH267" s="651"/>
      <c r="IAI267" s="691"/>
      <c r="IAJ267" s="651"/>
      <c r="IAK267" s="691"/>
      <c r="IAL267" s="651"/>
      <c r="IAM267" s="691"/>
      <c r="IAN267" s="651"/>
      <c r="IAO267" s="691"/>
      <c r="IAP267" s="651"/>
      <c r="IAQ267" s="691"/>
      <c r="IAR267" s="651"/>
      <c r="IAS267" s="691"/>
      <c r="IAT267" s="651"/>
      <c r="IAU267" s="691"/>
      <c r="IAV267" s="651"/>
      <c r="IAW267" s="691"/>
      <c r="IAX267" s="651"/>
      <c r="IAY267" s="691"/>
      <c r="IAZ267" s="651"/>
      <c r="IBA267" s="691"/>
      <c r="IBB267" s="651"/>
      <c r="IBC267" s="691"/>
      <c r="IBD267" s="651"/>
      <c r="IBE267" s="691"/>
      <c r="IBF267" s="651"/>
      <c r="IBG267" s="691"/>
      <c r="IBH267" s="651"/>
      <c r="IBI267" s="691"/>
      <c r="IBJ267" s="651"/>
      <c r="IBK267" s="691"/>
      <c r="IBL267" s="651"/>
      <c r="IBM267" s="691"/>
      <c r="IBN267" s="651"/>
      <c r="IBO267" s="691"/>
      <c r="IBP267" s="651"/>
      <c r="IBQ267" s="691"/>
      <c r="IBR267" s="651"/>
      <c r="IBS267" s="691"/>
      <c r="IBT267" s="651"/>
      <c r="IBU267" s="691"/>
      <c r="IBV267" s="651"/>
      <c r="IBW267" s="691"/>
      <c r="IBX267" s="651"/>
      <c r="IBY267" s="691"/>
      <c r="IBZ267" s="651"/>
      <c r="ICA267" s="691"/>
      <c r="ICB267" s="651"/>
      <c r="ICC267" s="691"/>
      <c r="ICD267" s="651"/>
      <c r="ICE267" s="691"/>
      <c r="ICF267" s="651"/>
      <c r="ICG267" s="691"/>
      <c r="ICH267" s="651"/>
      <c r="ICI267" s="691"/>
      <c r="ICJ267" s="651"/>
      <c r="ICK267" s="691"/>
      <c r="ICL267" s="651"/>
      <c r="ICM267" s="691"/>
      <c r="ICN267" s="651"/>
      <c r="ICO267" s="691"/>
      <c r="ICP267" s="651"/>
      <c r="ICQ267" s="691"/>
      <c r="ICR267" s="651"/>
      <c r="ICS267" s="691"/>
      <c r="ICT267" s="651"/>
      <c r="ICU267" s="691"/>
      <c r="ICV267" s="651"/>
      <c r="ICW267" s="691"/>
      <c r="ICX267" s="651"/>
      <c r="ICY267" s="691"/>
      <c r="ICZ267" s="651"/>
      <c r="IDA267" s="691"/>
      <c r="IDB267" s="651"/>
      <c r="IDC267" s="691"/>
      <c r="IDD267" s="651"/>
      <c r="IDE267" s="691"/>
      <c r="IDF267" s="651"/>
      <c r="IDG267" s="691"/>
      <c r="IDH267" s="651"/>
      <c r="IDI267" s="691"/>
      <c r="IDJ267" s="651"/>
      <c r="IDK267" s="691"/>
      <c r="IDL267" s="651"/>
      <c r="IDM267" s="691"/>
      <c r="IDN267" s="651"/>
      <c r="IDO267" s="691"/>
      <c r="IDP267" s="651"/>
      <c r="IDQ267" s="691"/>
      <c r="IDR267" s="651"/>
      <c r="IDS267" s="691"/>
      <c r="IDT267" s="651"/>
      <c r="IDU267" s="691"/>
      <c r="IDV267" s="651"/>
      <c r="IDW267" s="691"/>
      <c r="IDX267" s="651"/>
      <c r="IDY267" s="691"/>
      <c r="IDZ267" s="651"/>
      <c r="IEA267" s="691"/>
      <c r="IEB267" s="651"/>
      <c r="IEC267" s="691"/>
      <c r="IED267" s="651"/>
      <c r="IEE267" s="691"/>
      <c r="IEF267" s="651"/>
      <c r="IEG267" s="691"/>
      <c r="IEH267" s="651"/>
      <c r="IEI267" s="691"/>
      <c r="IEJ267" s="651"/>
      <c r="IEK267" s="691"/>
      <c r="IEL267" s="651"/>
      <c r="IEM267" s="691"/>
      <c r="IEN267" s="651"/>
      <c r="IEO267" s="691"/>
      <c r="IEP267" s="651"/>
      <c r="IEQ267" s="691"/>
      <c r="IER267" s="651"/>
      <c r="IES267" s="691"/>
      <c r="IET267" s="651"/>
      <c r="IEU267" s="691"/>
      <c r="IEV267" s="651"/>
      <c r="IEW267" s="691"/>
      <c r="IEX267" s="651"/>
      <c r="IEY267" s="691"/>
      <c r="IEZ267" s="651"/>
      <c r="IFA267" s="691"/>
      <c r="IFB267" s="651"/>
      <c r="IFC267" s="691"/>
      <c r="IFD267" s="651"/>
      <c r="IFE267" s="691"/>
      <c r="IFF267" s="651"/>
      <c r="IFG267" s="691"/>
      <c r="IFH267" s="651"/>
      <c r="IFI267" s="691"/>
      <c r="IFJ267" s="651"/>
      <c r="IFK267" s="691"/>
      <c r="IFL267" s="651"/>
      <c r="IFM267" s="691"/>
      <c r="IFN267" s="651"/>
      <c r="IFO267" s="691"/>
      <c r="IFP267" s="651"/>
      <c r="IFQ267" s="691"/>
      <c r="IFR267" s="651"/>
      <c r="IFS267" s="691"/>
      <c r="IFT267" s="651"/>
      <c r="IFU267" s="691"/>
      <c r="IFV267" s="651"/>
      <c r="IFW267" s="691"/>
      <c r="IFX267" s="651"/>
      <c r="IFY267" s="691"/>
      <c r="IFZ267" s="651"/>
      <c r="IGA267" s="691"/>
      <c r="IGB267" s="651"/>
      <c r="IGC267" s="691"/>
      <c r="IGD267" s="651"/>
      <c r="IGE267" s="691"/>
      <c r="IGF267" s="651"/>
      <c r="IGG267" s="691"/>
      <c r="IGH267" s="651"/>
      <c r="IGI267" s="691"/>
      <c r="IGJ267" s="651"/>
      <c r="IGK267" s="691"/>
      <c r="IGL267" s="651"/>
      <c r="IGM267" s="691"/>
      <c r="IGN267" s="651"/>
      <c r="IGO267" s="691"/>
      <c r="IGP267" s="651"/>
      <c r="IGQ267" s="691"/>
      <c r="IGR267" s="651"/>
      <c r="IGS267" s="691"/>
      <c r="IGT267" s="651"/>
      <c r="IGU267" s="691"/>
      <c r="IGV267" s="651"/>
      <c r="IGW267" s="691"/>
      <c r="IGX267" s="651"/>
      <c r="IGY267" s="691"/>
      <c r="IGZ267" s="651"/>
      <c r="IHA267" s="691"/>
      <c r="IHB267" s="651"/>
      <c r="IHC267" s="691"/>
      <c r="IHD267" s="651"/>
      <c r="IHE267" s="691"/>
      <c r="IHF267" s="651"/>
      <c r="IHG267" s="691"/>
      <c r="IHH267" s="651"/>
      <c r="IHI267" s="691"/>
      <c r="IHJ267" s="651"/>
      <c r="IHK267" s="691"/>
      <c r="IHL267" s="651"/>
      <c r="IHM267" s="691"/>
      <c r="IHN267" s="651"/>
      <c r="IHO267" s="691"/>
      <c r="IHP267" s="651"/>
      <c r="IHQ267" s="691"/>
      <c r="IHR267" s="651"/>
      <c r="IHS267" s="691"/>
      <c r="IHT267" s="651"/>
      <c r="IHU267" s="691"/>
      <c r="IHV267" s="651"/>
      <c r="IHW267" s="691"/>
      <c r="IHX267" s="651"/>
      <c r="IHY267" s="691"/>
      <c r="IHZ267" s="651"/>
      <c r="IIA267" s="691"/>
      <c r="IIB267" s="651"/>
      <c r="IIC267" s="691"/>
      <c r="IID267" s="651"/>
      <c r="IIE267" s="691"/>
      <c r="IIF267" s="651"/>
      <c r="IIG267" s="691"/>
      <c r="IIH267" s="651"/>
      <c r="III267" s="691"/>
      <c r="IIJ267" s="651"/>
      <c r="IIK267" s="691"/>
      <c r="IIL267" s="651"/>
      <c r="IIM267" s="691"/>
      <c r="IIN267" s="651"/>
      <c r="IIO267" s="691"/>
      <c r="IIP267" s="651"/>
      <c r="IIQ267" s="691"/>
      <c r="IIR267" s="651"/>
      <c r="IIS267" s="691"/>
      <c r="IIT267" s="651"/>
      <c r="IIU267" s="691"/>
      <c r="IIV267" s="651"/>
      <c r="IIW267" s="691"/>
      <c r="IIX267" s="651"/>
      <c r="IIY267" s="691"/>
      <c r="IIZ267" s="651"/>
      <c r="IJA267" s="691"/>
      <c r="IJB267" s="651"/>
      <c r="IJC267" s="691"/>
      <c r="IJD267" s="651"/>
      <c r="IJE267" s="691"/>
      <c r="IJF267" s="651"/>
      <c r="IJG267" s="691"/>
      <c r="IJH267" s="651"/>
      <c r="IJI267" s="691"/>
      <c r="IJJ267" s="651"/>
      <c r="IJK267" s="691"/>
      <c r="IJL267" s="651"/>
      <c r="IJM267" s="691"/>
      <c r="IJN267" s="651"/>
      <c r="IJO267" s="691"/>
      <c r="IJP267" s="651"/>
      <c r="IJQ267" s="691"/>
      <c r="IJR267" s="651"/>
      <c r="IJS267" s="691"/>
      <c r="IJT267" s="651"/>
      <c r="IJU267" s="691"/>
      <c r="IJV267" s="651"/>
      <c r="IJW267" s="691"/>
      <c r="IJX267" s="651"/>
      <c r="IJY267" s="691"/>
      <c r="IJZ267" s="651"/>
      <c r="IKA267" s="691"/>
      <c r="IKB267" s="651"/>
      <c r="IKC267" s="691"/>
      <c r="IKD267" s="651"/>
      <c r="IKE267" s="691"/>
      <c r="IKF267" s="651"/>
      <c r="IKG267" s="691"/>
      <c r="IKH267" s="651"/>
      <c r="IKI267" s="691"/>
      <c r="IKJ267" s="651"/>
      <c r="IKK267" s="691"/>
      <c r="IKL267" s="651"/>
      <c r="IKM267" s="691"/>
      <c r="IKN267" s="651"/>
      <c r="IKO267" s="691"/>
      <c r="IKP267" s="651"/>
      <c r="IKQ267" s="691"/>
      <c r="IKR267" s="651"/>
      <c r="IKS267" s="691"/>
      <c r="IKT267" s="651"/>
      <c r="IKU267" s="691"/>
      <c r="IKV267" s="651"/>
      <c r="IKW267" s="691"/>
      <c r="IKX267" s="651"/>
      <c r="IKY267" s="691"/>
      <c r="IKZ267" s="651"/>
      <c r="ILA267" s="691"/>
      <c r="ILB267" s="651"/>
      <c r="ILC267" s="691"/>
      <c r="ILD267" s="651"/>
      <c r="ILE267" s="691"/>
      <c r="ILF267" s="651"/>
      <c r="ILG267" s="691"/>
      <c r="ILH267" s="651"/>
      <c r="ILI267" s="691"/>
      <c r="ILJ267" s="651"/>
      <c r="ILK267" s="691"/>
      <c r="ILL267" s="651"/>
      <c r="ILM267" s="691"/>
      <c r="ILN267" s="651"/>
      <c r="ILO267" s="691"/>
      <c r="ILP267" s="651"/>
      <c r="ILQ267" s="691"/>
      <c r="ILR267" s="651"/>
      <c r="ILS267" s="691"/>
      <c r="ILT267" s="651"/>
      <c r="ILU267" s="691"/>
      <c r="ILV267" s="651"/>
      <c r="ILW267" s="691"/>
      <c r="ILX267" s="651"/>
      <c r="ILY267" s="691"/>
      <c r="ILZ267" s="651"/>
      <c r="IMA267" s="691"/>
      <c r="IMB267" s="651"/>
      <c r="IMC267" s="691"/>
      <c r="IMD267" s="651"/>
      <c r="IME267" s="691"/>
      <c r="IMF267" s="651"/>
      <c r="IMG267" s="691"/>
      <c r="IMH267" s="651"/>
      <c r="IMI267" s="691"/>
      <c r="IMJ267" s="651"/>
      <c r="IMK267" s="691"/>
      <c r="IML267" s="651"/>
      <c r="IMM267" s="691"/>
      <c r="IMN267" s="651"/>
      <c r="IMO267" s="691"/>
      <c r="IMP267" s="651"/>
      <c r="IMQ267" s="691"/>
      <c r="IMR267" s="651"/>
      <c r="IMS267" s="691"/>
      <c r="IMT267" s="651"/>
      <c r="IMU267" s="691"/>
      <c r="IMV267" s="651"/>
      <c r="IMW267" s="691"/>
      <c r="IMX267" s="651"/>
      <c r="IMY267" s="691"/>
      <c r="IMZ267" s="651"/>
      <c r="INA267" s="691"/>
      <c r="INB267" s="651"/>
      <c r="INC267" s="691"/>
      <c r="IND267" s="651"/>
      <c r="INE267" s="691"/>
      <c r="INF267" s="651"/>
      <c r="ING267" s="691"/>
      <c r="INH267" s="651"/>
      <c r="INI267" s="691"/>
      <c r="INJ267" s="651"/>
      <c r="INK267" s="691"/>
      <c r="INL267" s="651"/>
      <c r="INM267" s="691"/>
      <c r="INN267" s="651"/>
      <c r="INO267" s="691"/>
      <c r="INP267" s="651"/>
      <c r="INQ267" s="691"/>
      <c r="INR267" s="651"/>
      <c r="INS267" s="691"/>
      <c r="INT267" s="651"/>
      <c r="INU267" s="691"/>
      <c r="INV267" s="651"/>
      <c r="INW267" s="691"/>
      <c r="INX267" s="651"/>
      <c r="INY267" s="691"/>
      <c r="INZ267" s="651"/>
      <c r="IOA267" s="691"/>
      <c r="IOB267" s="651"/>
      <c r="IOC267" s="691"/>
      <c r="IOD267" s="651"/>
      <c r="IOE267" s="691"/>
      <c r="IOF267" s="651"/>
      <c r="IOG267" s="691"/>
      <c r="IOH267" s="651"/>
      <c r="IOI267" s="691"/>
      <c r="IOJ267" s="651"/>
      <c r="IOK267" s="691"/>
      <c r="IOL267" s="651"/>
      <c r="IOM267" s="691"/>
      <c r="ION267" s="651"/>
      <c r="IOO267" s="691"/>
      <c r="IOP267" s="651"/>
      <c r="IOQ267" s="691"/>
      <c r="IOR267" s="651"/>
      <c r="IOS267" s="691"/>
      <c r="IOT267" s="651"/>
      <c r="IOU267" s="691"/>
      <c r="IOV267" s="651"/>
      <c r="IOW267" s="691"/>
      <c r="IOX267" s="651"/>
      <c r="IOY267" s="691"/>
      <c r="IOZ267" s="651"/>
      <c r="IPA267" s="691"/>
      <c r="IPB267" s="651"/>
      <c r="IPC267" s="691"/>
      <c r="IPD267" s="651"/>
      <c r="IPE267" s="691"/>
      <c r="IPF267" s="651"/>
      <c r="IPG267" s="691"/>
      <c r="IPH267" s="651"/>
      <c r="IPI267" s="691"/>
      <c r="IPJ267" s="651"/>
      <c r="IPK267" s="691"/>
      <c r="IPL267" s="651"/>
      <c r="IPM267" s="691"/>
      <c r="IPN267" s="651"/>
      <c r="IPO267" s="691"/>
      <c r="IPP267" s="651"/>
      <c r="IPQ267" s="691"/>
      <c r="IPR267" s="651"/>
      <c r="IPS267" s="691"/>
      <c r="IPT267" s="651"/>
      <c r="IPU267" s="691"/>
      <c r="IPV267" s="651"/>
      <c r="IPW267" s="691"/>
      <c r="IPX267" s="651"/>
      <c r="IPY267" s="691"/>
      <c r="IPZ267" s="651"/>
      <c r="IQA267" s="691"/>
      <c r="IQB267" s="651"/>
      <c r="IQC267" s="691"/>
      <c r="IQD267" s="651"/>
      <c r="IQE267" s="691"/>
      <c r="IQF267" s="651"/>
      <c r="IQG267" s="691"/>
      <c r="IQH267" s="651"/>
      <c r="IQI267" s="691"/>
      <c r="IQJ267" s="651"/>
      <c r="IQK267" s="691"/>
      <c r="IQL267" s="651"/>
      <c r="IQM267" s="691"/>
      <c r="IQN267" s="651"/>
      <c r="IQO267" s="691"/>
      <c r="IQP267" s="651"/>
      <c r="IQQ267" s="691"/>
      <c r="IQR267" s="651"/>
      <c r="IQS267" s="691"/>
      <c r="IQT267" s="651"/>
      <c r="IQU267" s="691"/>
      <c r="IQV267" s="651"/>
      <c r="IQW267" s="691"/>
      <c r="IQX267" s="651"/>
      <c r="IQY267" s="691"/>
      <c r="IQZ267" s="651"/>
      <c r="IRA267" s="691"/>
      <c r="IRB267" s="651"/>
      <c r="IRC267" s="691"/>
      <c r="IRD267" s="651"/>
      <c r="IRE267" s="691"/>
      <c r="IRF267" s="651"/>
      <c r="IRG267" s="691"/>
      <c r="IRH267" s="651"/>
      <c r="IRI267" s="691"/>
      <c r="IRJ267" s="651"/>
      <c r="IRK267" s="691"/>
      <c r="IRL267" s="651"/>
      <c r="IRM267" s="691"/>
      <c r="IRN267" s="651"/>
      <c r="IRO267" s="691"/>
      <c r="IRP267" s="651"/>
      <c r="IRQ267" s="691"/>
      <c r="IRR267" s="651"/>
      <c r="IRS267" s="691"/>
      <c r="IRT267" s="651"/>
      <c r="IRU267" s="691"/>
      <c r="IRV267" s="651"/>
      <c r="IRW267" s="691"/>
      <c r="IRX267" s="651"/>
      <c r="IRY267" s="691"/>
      <c r="IRZ267" s="651"/>
      <c r="ISA267" s="691"/>
      <c r="ISB267" s="651"/>
      <c r="ISC267" s="691"/>
      <c r="ISD267" s="651"/>
      <c r="ISE267" s="691"/>
      <c r="ISF267" s="651"/>
      <c r="ISG267" s="691"/>
      <c r="ISH267" s="651"/>
      <c r="ISI267" s="691"/>
      <c r="ISJ267" s="651"/>
      <c r="ISK267" s="691"/>
      <c r="ISL267" s="651"/>
      <c r="ISM267" s="691"/>
      <c r="ISN267" s="651"/>
      <c r="ISO267" s="691"/>
      <c r="ISP267" s="651"/>
      <c r="ISQ267" s="691"/>
      <c r="ISR267" s="651"/>
      <c r="ISS267" s="691"/>
      <c r="IST267" s="651"/>
      <c r="ISU267" s="691"/>
      <c r="ISV267" s="651"/>
      <c r="ISW267" s="691"/>
      <c r="ISX267" s="651"/>
      <c r="ISY267" s="691"/>
      <c r="ISZ267" s="651"/>
      <c r="ITA267" s="691"/>
      <c r="ITB267" s="651"/>
      <c r="ITC267" s="691"/>
      <c r="ITD267" s="651"/>
      <c r="ITE267" s="691"/>
      <c r="ITF267" s="651"/>
      <c r="ITG267" s="691"/>
      <c r="ITH267" s="651"/>
      <c r="ITI267" s="691"/>
      <c r="ITJ267" s="651"/>
      <c r="ITK267" s="691"/>
      <c r="ITL267" s="651"/>
      <c r="ITM267" s="691"/>
      <c r="ITN267" s="651"/>
      <c r="ITO267" s="691"/>
      <c r="ITP267" s="651"/>
      <c r="ITQ267" s="691"/>
      <c r="ITR267" s="651"/>
      <c r="ITS267" s="691"/>
      <c r="ITT267" s="651"/>
      <c r="ITU267" s="691"/>
      <c r="ITV267" s="651"/>
      <c r="ITW267" s="691"/>
      <c r="ITX267" s="651"/>
      <c r="ITY267" s="691"/>
      <c r="ITZ267" s="651"/>
      <c r="IUA267" s="691"/>
      <c r="IUB267" s="651"/>
      <c r="IUC267" s="691"/>
      <c r="IUD267" s="651"/>
      <c r="IUE267" s="691"/>
      <c r="IUF267" s="651"/>
      <c r="IUG267" s="691"/>
      <c r="IUH267" s="651"/>
      <c r="IUI267" s="691"/>
      <c r="IUJ267" s="651"/>
      <c r="IUK267" s="691"/>
      <c r="IUL267" s="651"/>
      <c r="IUM267" s="691"/>
      <c r="IUN267" s="651"/>
      <c r="IUO267" s="691"/>
      <c r="IUP267" s="651"/>
      <c r="IUQ267" s="691"/>
      <c r="IUR267" s="651"/>
      <c r="IUS267" s="691"/>
      <c r="IUT267" s="651"/>
      <c r="IUU267" s="691"/>
      <c r="IUV267" s="651"/>
      <c r="IUW267" s="691"/>
      <c r="IUX267" s="651"/>
      <c r="IUY267" s="691"/>
      <c r="IUZ267" s="651"/>
      <c r="IVA267" s="691"/>
      <c r="IVB267" s="651"/>
      <c r="IVC267" s="691"/>
      <c r="IVD267" s="651"/>
      <c r="IVE267" s="691"/>
      <c r="IVF267" s="651"/>
      <c r="IVG267" s="691"/>
      <c r="IVH267" s="651"/>
      <c r="IVI267" s="691"/>
      <c r="IVJ267" s="651"/>
      <c r="IVK267" s="691"/>
      <c r="IVL267" s="651"/>
      <c r="IVM267" s="691"/>
      <c r="IVN267" s="651"/>
      <c r="IVO267" s="691"/>
      <c r="IVP267" s="651"/>
      <c r="IVQ267" s="691"/>
      <c r="IVR267" s="651"/>
      <c r="IVS267" s="691"/>
      <c r="IVT267" s="651"/>
      <c r="IVU267" s="691"/>
      <c r="IVV267" s="651"/>
      <c r="IVW267" s="691"/>
      <c r="IVX267" s="651"/>
      <c r="IVY267" s="691"/>
      <c r="IVZ267" s="651"/>
      <c r="IWA267" s="691"/>
      <c r="IWB267" s="651"/>
      <c r="IWC267" s="691"/>
      <c r="IWD267" s="651"/>
      <c r="IWE267" s="691"/>
      <c r="IWF267" s="651"/>
      <c r="IWG267" s="691"/>
      <c r="IWH267" s="651"/>
      <c r="IWI267" s="691"/>
      <c r="IWJ267" s="651"/>
      <c r="IWK267" s="691"/>
      <c r="IWL267" s="651"/>
      <c r="IWM267" s="691"/>
      <c r="IWN267" s="651"/>
      <c r="IWO267" s="691"/>
      <c r="IWP267" s="651"/>
      <c r="IWQ267" s="691"/>
      <c r="IWR267" s="651"/>
      <c r="IWS267" s="691"/>
      <c r="IWT267" s="651"/>
      <c r="IWU267" s="691"/>
      <c r="IWV267" s="651"/>
      <c r="IWW267" s="691"/>
      <c r="IWX267" s="651"/>
      <c r="IWY267" s="691"/>
      <c r="IWZ267" s="651"/>
      <c r="IXA267" s="691"/>
      <c r="IXB267" s="651"/>
      <c r="IXC267" s="691"/>
      <c r="IXD267" s="651"/>
      <c r="IXE267" s="691"/>
      <c r="IXF267" s="651"/>
      <c r="IXG267" s="691"/>
      <c r="IXH267" s="651"/>
      <c r="IXI267" s="691"/>
      <c r="IXJ267" s="651"/>
      <c r="IXK267" s="691"/>
      <c r="IXL267" s="651"/>
      <c r="IXM267" s="691"/>
      <c r="IXN267" s="651"/>
      <c r="IXO267" s="691"/>
      <c r="IXP267" s="651"/>
      <c r="IXQ267" s="691"/>
      <c r="IXR267" s="651"/>
      <c r="IXS267" s="691"/>
      <c r="IXT267" s="651"/>
      <c r="IXU267" s="691"/>
      <c r="IXV267" s="651"/>
      <c r="IXW267" s="691"/>
      <c r="IXX267" s="651"/>
      <c r="IXY267" s="691"/>
      <c r="IXZ267" s="651"/>
      <c r="IYA267" s="691"/>
      <c r="IYB267" s="651"/>
      <c r="IYC267" s="691"/>
      <c r="IYD267" s="651"/>
      <c r="IYE267" s="691"/>
      <c r="IYF267" s="651"/>
      <c r="IYG267" s="691"/>
      <c r="IYH267" s="651"/>
      <c r="IYI267" s="691"/>
      <c r="IYJ267" s="651"/>
      <c r="IYK267" s="691"/>
      <c r="IYL267" s="651"/>
      <c r="IYM267" s="691"/>
      <c r="IYN267" s="651"/>
      <c r="IYO267" s="691"/>
      <c r="IYP267" s="651"/>
      <c r="IYQ267" s="691"/>
      <c r="IYR267" s="651"/>
      <c r="IYS267" s="691"/>
      <c r="IYT267" s="651"/>
      <c r="IYU267" s="691"/>
      <c r="IYV267" s="651"/>
      <c r="IYW267" s="691"/>
      <c r="IYX267" s="651"/>
      <c r="IYY267" s="691"/>
      <c r="IYZ267" s="651"/>
      <c r="IZA267" s="691"/>
      <c r="IZB267" s="651"/>
      <c r="IZC267" s="691"/>
      <c r="IZD267" s="651"/>
      <c r="IZE267" s="691"/>
      <c r="IZF267" s="651"/>
      <c r="IZG267" s="691"/>
      <c r="IZH267" s="651"/>
      <c r="IZI267" s="691"/>
      <c r="IZJ267" s="651"/>
      <c r="IZK267" s="691"/>
      <c r="IZL267" s="651"/>
      <c r="IZM267" s="691"/>
      <c r="IZN267" s="651"/>
      <c r="IZO267" s="691"/>
      <c r="IZP267" s="651"/>
      <c r="IZQ267" s="691"/>
      <c r="IZR267" s="651"/>
      <c r="IZS267" s="691"/>
      <c r="IZT267" s="651"/>
      <c r="IZU267" s="691"/>
      <c r="IZV267" s="651"/>
      <c r="IZW267" s="691"/>
      <c r="IZX267" s="651"/>
      <c r="IZY267" s="691"/>
      <c r="IZZ267" s="651"/>
      <c r="JAA267" s="691"/>
      <c r="JAB267" s="651"/>
      <c r="JAC267" s="691"/>
      <c r="JAD267" s="651"/>
      <c r="JAE267" s="691"/>
      <c r="JAF267" s="651"/>
      <c r="JAG267" s="691"/>
      <c r="JAH267" s="651"/>
      <c r="JAI267" s="691"/>
      <c r="JAJ267" s="651"/>
      <c r="JAK267" s="691"/>
      <c r="JAL267" s="651"/>
      <c r="JAM267" s="691"/>
      <c r="JAN267" s="651"/>
      <c r="JAO267" s="691"/>
      <c r="JAP267" s="651"/>
      <c r="JAQ267" s="691"/>
      <c r="JAR267" s="651"/>
      <c r="JAS267" s="691"/>
      <c r="JAT267" s="651"/>
      <c r="JAU267" s="691"/>
      <c r="JAV267" s="651"/>
      <c r="JAW267" s="691"/>
      <c r="JAX267" s="651"/>
      <c r="JAY267" s="691"/>
      <c r="JAZ267" s="651"/>
      <c r="JBA267" s="691"/>
      <c r="JBB267" s="651"/>
      <c r="JBC267" s="691"/>
      <c r="JBD267" s="651"/>
      <c r="JBE267" s="691"/>
      <c r="JBF267" s="651"/>
      <c r="JBG267" s="691"/>
      <c r="JBH267" s="651"/>
      <c r="JBI267" s="691"/>
      <c r="JBJ267" s="651"/>
      <c r="JBK267" s="691"/>
      <c r="JBL267" s="651"/>
      <c r="JBM267" s="691"/>
      <c r="JBN267" s="651"/>
      <c r="JBO267" s="691"/>
      <c r="JBP267" s="651"/>
      <c r="JBQ267" s="691"/>
      <c r="JBR267" s="651"/>
      <c r="JBS267" s="691"/>
      <c r="JBT267" s="651"/>
      <c r="JBU267" s="691"/>
      <c r="JBV267" s="651"/>
      <c r="JBW267" s="691"/>
      <c r="JBX267" s="651"/>
      <c r="JBY267" s="691"/>
      <c r="JBZ267" s="651"/>
      <c r="JCA267" s="691"/>
      <c r="JCB267" s="651"/>
      <c r="JCC267" s="691"/>
      <c r="JCD267" s="651"/>
      <c r="JCE267" s="691"/>
      <c r="JCF267" s="651"/>
      <c r="JCG267" s="691"/>
      <c r="JCH267" s="651"/>
      <c r="JCI267" s="691"/>
      <c r="JCJ267" s="651"/>
      <c r="JCK267" s="691"/>
      <c r="JCL267" s="651"/>
      <c r="JCM267" s="691"/>
      <c r="JCN267" s="651"/>
      <c r="JCO267" s="691"/>
      <c r="JCP267" s="651"/>
      <c r="JCQ267" s="691"/>
      <c r="JCR267" s="651"/>
      <c r="JCS267" s="691"/>
      <c r="JCT267" s="651"/>
      <c r="JCU267" s="691"/>
      <c r="JCV267" s="651"/>
      <c r="JCW267" s="691"/>
      <c r="JCX267" s="651"/>
      <c r="JCY267" s="691"/>
      <c r="JCZ267" s="651"/>
      <c r="JDA267" s="691"/>
      <c r="JDB267" s="651"/>
      <c r="JDC267" s="691"/>
      <c r="JDD267" s="651"/>
      <c r="JDE267" s="691"/>
      <c r="JDF267" s="651"/>
      <c r="JDG267" s="691"/>
      <c r="JDH267" s="651"/>
      <c r="JDI267" s="691"/>
      <c r="JDJ267" s="651"/>
      <c r="JDK267" s="691"/>
      <c r="JDL267" s="651"/>
      <c r="JDM267" s="691"/>
      <c r="JDN267" s="651"/>
      <c r="JDO267" s="691"/>
      <c r="JDP267" s="651"/>
      <c r="JDQ267" s="691"/>
      <c r="JDR267" s="651"/>
      <c r="JDS267" s="691"/>
      <c r="JDT267" s="651"/>
      <c r="JDU267" s="691"/>
      <c r="JDV267" s="651"/>
      <c r="JDW267" s="691"/>
      <c r="JDX267" s="651"/>
      <c r="JDY267" s="691"/>
      <c r="JDZ267" s="651"/>
      <c r="JEA267" s="691"/>
      <c r="JEB267" s="651"/>
      <c r="JEC267" s="691"/>
      <c r="JED267" s="651"/>
      <c r="JEE267" s="691"/>
      <c r="JEF267" s="651"/>
      <c r="JEG267" s="691"/>
      <c r="JEH267" s="651"/>
      <c r="JEI267" s="691"/>
      <c r="JEJ267" s="651"/>
      <c r="JEK267" s="691"/>
      <c r="JEL267" s="651"/>
      <c r="JEM267" s="691"/>
      <c r="JEN267" s="651"/>
      <c r="JEO267" s="691"/>
      <c r="JEP267" s="651"/>
      <c r="JEQ267" s="691"/>
      <c r="JER267" s="651"/>
      <c r="JES267" s="691"/>
      <c r="JET267" s="651"/>
      <c r="JEU267" s="691"/>
      <c r="JEV267" s="651"/>
      <c r="JEW267" s="691"/>
      <c r="JEX267" s="651"/>
      <c r="JEY267" s="691"/>
      <c r="JEZ267" s="651"/>
      <c r="JFA267" s="691"/>
      <c r="JFB267" s="651"/>
      <c r="JFC267" s="691"/>
      <c r="JFD267" s="651"/>
      <c r="JFE267" s="691"/>
      <c r="JFF267" s="651"/>
      <c r="JFG267" s="691"/>
      <c r="JFH267" s="651"/>
      <c r="JFI267" s="691"/>
      <c r="JFJ267" s="651"/>
      <c r="JFK267" s="691"/>
      <c r="JFL267" s="651"/>
      <c r="JFM267" s="691"/>
      <c r="JFN267" s="651"/>
      <c r="JFO267" s="691"/>
      <c r="JFP267" s="651"/>
      <c r="JFQ267" s="691"/>
      <c r="JFR267" s="651"/>
      <c r="JFS267" s="691"/>
      <c r="JFT267" s="651"/>
      <c r="JFU267" s="691"/>
      <c r="JFV267" s="651"/>
      <c r="JFW267" s="691"/>
      <c r="JFX267" s="651"/>
      <c r="JFY267" s="691"/>
      <c r="JFZ267" s="651"/>
      <c r="JGA267" s="691"/>
      <c r="JGB267" s="651"/>
      <c r="JGC267" s="691"/>
      <c r="JGD267" s="651"/>
      <c r="JGE267" s="691"/>
      <c r="JGF267" s="651"/>
      <c r="JGG267" s="691"/>
      <c r="JGH267" s="651"/>
      <c r="JGI267" s="691"/>
      <c r="JGJ267" s="651"/>
      <c r="JGK267" s="691"/>
      <c r="JGL267" s="651"/>
      <c r="JGM267" s="691"/>
      <c r="JGN267" s="651"/>
      <c r="JGO267" s="691"/>
      <c r="JGP267" s="651"/>
      <c r="JGQ267" s="691"/>
      <c r="JGR267" s="651"/>
      <c r="JGS267" s="691"/>
      <c r="JGT267" s="651"/>
      <c r="JGU267" s="691"/>
      <c r="JGV267" s="651"/>
      <c r="JGW267" s="691"/>
      <c r="JGX267" s="651"/>
      <c r="JGY267" s="691"/>
      <c r="JGZ267" s="651"/>
      <c r="JHA267" s="691"/>
      <c r="JHB267" s="651"/>
      <c r="JHC267" s="691"/>
      <c r="JHD267" s="651"/>
      <c r="JHE267" s="691"/>
      <c r="JHF267" s="651"/>
      <c r="JHG267" s="691"/>
      <c r="JHH267" s="651"/>
      <c r="JHI267" s="691"/>
      <c r="JHJ267" s="651"/>
      <c r="JHK267" s="691"/>
      <c r="JHL267" s="651"/>
      <c r="JHM267" s="691"/>
      <c r="JHN267" s="651"/>
      <c r="JHO267" s="691"/>
      <c r="JHP267" s="651"/>
      <c r="JHQ267" s="691"/>
      <c r="JHR267" s="651"/>
      <c r="JHS267" s="691"/>
      <c r="JHT267" s="651"/>
      <c r="JHU267" s="691"/>
      <c r="JHV267" s="651"/>
      <c r="JHW267" s="691"/>
      <c r="JHX267" s="651"/>
      <c r="JHY267" s="691"/>
      <c r="JHZ267" s="651"/>
      <c r="JIA267" s="691"/>
      <c r="JIB267" s="651"/>
      <c r="JIC267" s="691"/>
      <c r="JID267" s="651"/>
      <c r="JIE267" s="691"/>
      <c r="JIF267" s="651"/>
      <c r="JIG267" s="691"/>
      <c r="JIH267" s="651"/>
      <c r="JII267" s="691"/>
      <c r="JIJ267" s="651"/>
      <c r="JIK267" s="691"/>
      <c r="JIL267" s="651"/>
      <c r="JIM267" s="691"/>
      <c r="JIN267" s="651"/>
      <c r="JIO267" s="691"/>
      <c r="JIP267" s="651"/>
      <c r="JIQ267" s="691"/>
      <c r="JIR267" s="651"/>
      <c r="JIS267" s="691"/>
      <c r="JIT267" s="651"/>
      <c r="JIU267" s="691"/>
      <c r="JIV267" s="651"/>
      <c r="JIW267" s="691"/>
      <c r="JIX267" s="651"/>
      <c r="JIY267" s="691"/>
      <c r="JIZ267" s="651"/>
      <c r="JJA267" s="691"/>
      <c r="JJB267" s="651"/>
      <c r="JJC267" s="691"/>
      <c r="JJD267" s="651"/>
      <c r="JJE267" s="691"/>
      <c r="JJF267" s="651"/>
      <c r="JJG267" s="691"/>
      <c r="JJH267" s="651"/>
      <c r="JJI267" s="691"/>
      <c r="JJJ267" s="651"/>
      <c r="JJK267" s="691"/>
      <c r="JJL267" s="651"/>
      <c r="JJM267" s="691"/>
      <c r="JJN267" s="651"/>
      <c r="JJO267" s="691"/>
      <c r="JJP267" s="651"/>
      <c r="JJQ267" s="691"/>
      <c r="JJR267" s="651"/>
      <c r="JJS267" s="691"/>
      <c r="JJT267" s="651"/>
      <c r="JJU267" s="691"/>
      <c r="JJV267" s="651"/>
      <c r="JJW267" s="691"/>
      <c r="JJX267" s="651"/>
      <c r="JJY267" s="691"/>
      <c r="JJZ267" s="651"/>
      <c r="JKA267" s="691"/>
      <c r="JKB267" s="651"/>
      <c r="JKC267" s="691"/>
      <c r="JKD267" s="651"/>
      <c r="JKE267" s="691"/>
      <c r="JKF267" s="651"/>
      <c r="JKG267" s="691"/>
      <c r="JKH267" s="651"/>
      <c r="JKI267" s="691"/>
      <c r="JKJ267" s="651"/>
      <c r="JKK267" s="691"/>
      <c r="JKL267" s="651"/>
      <c r="JKM267" s="691"/>
      <c r="JKN267" s="651"/>
      <c r="JKO267" s="691"/>
      <c r="JKP267" s="651"/>
      <c r="JKQ267" s="691"/>
      <c r="JKR267" s="651"/>
      <c r="JKS267" s="691"/>
      <c r="JKT267" s="651"/>
      <c r="JKU267" s="691"/>
      <c r="JKV267" s="651"/>
      <c r="JKW267" s="691"/>
      <c r="JKX267" s="651"/>
      <c r="JKY267" s="691"/>
      <c r="JKZ267" s="651"/>
      <c r="JLA267" s="691"/>
      <c r="JLB267" s="651"/>
      <c r="JLC267" s="691"/>
      <c r="JLD267" s="651"/>
      <c r="JLE267" s="691"/>
      <c r="JLF267" s="651"/>
      <c r="JLG267" s="691"/>
      <c r="JLH267" s="651"/>
      <c r="JLI267" s="691"/>
      <c r="JLJ267" s="651"/>
      <c r="JLK267" s="691"/>
      <c r="JLL267" s="651"/>
      <c r="JLM267" s="691"/>
      <c r="JLN267" s="651"/>
      <c r="JLO267" s="691"/>
      <c r="JLP267" s="651"/>
      <c r="JLQ267" s="691"/>
      <c r="JLR267" s="651"/>
      <c r="JLS267" s="691"/>
      <c r="JLT267" s="651"/>
      <c r="JLU267" s="691"/>
      <c r="JLV267" s="651"/>
      <c r="JLW267" s="691"/>
      <c r="JLX267" s="651"/>
      <c r="JLY267" s="691"/>
      <c r="JLZ267" s="651"/>
      <c r="JMA267" s="691"/>
      <c r="JMB267" s="651"/>
      <c r="JMC267" s="691"/>
      <c r="JMD267" s="651"/>
      <c r="JME267" s="691"/>
      <c r="JMF267" s="651"/>
      <c r="JMG267" s="691"/>
      <c r="JMH267" s="651"/>
      <c r="JMI267" s="691"/>
      <c r="JMJ267" s="651"/>
      <c r="JMK267" s="691"/>
      <c r="JML267" s="651"/>
      <c r="JMM267" s="691"/>
      <c r="JMN267" s="651"/>
      <c r="JMO267" s="691"/>
      <c r="JMP267" s="651"/>
      <c r="JMQ267" s="691"/>
      <c r="JMR267" s="651"/>
      <c r="JMS267" s="691"/>
      <c r="JMT267" s="651"/>
      <c r="JMU267" s="691"/>
      <c r="JMV267" s="651"/>
      <c r="JMW267" s="691"/>
      <c r="JMX267" s="651"/>
      <c r="JMY267" s="691"/>
      <c r="JMZ267" s="651"/>
      <c r="JNA267" s="691"/>
      <c r="JNB267" s="651"/>
      <c r="JNC267" s="691"/>
      <c r="JND267" s="651"/>
      <c r="JNE267" s="691"/>
      <c r="JNF267" s="651"/>
      <c r="JNG267" s="691"/>
      <c r="JNH267" s="651"/>
      <c r="JNI267" s="691"/>
      <c r="JNJ267" s="651"/>
      <c r="JNK267" s="691"/>
      <c r="JNL267" s="651"/>
      <c r="JNM267" s="691"/>
      <c r="JNN267" s="651"/>
      <c r="JNO267" s="691"/>
      <c r="JNP267" s="651"/>
      <c r="JNQ267" s="691"/>
      <c r="JNR267" s="651"/>
      <c r="JNS267" s="691"/>
      <c r="JNT267" s="651"/>
      <c r="JNU267" s="691"/>
      <c r="JNV267" s="651"/>
      <c r="JNW267" s="691"/>
      <c r="JNX267" s="651"/>
      <c r="JNY267" s="691"/>
      <c r="JNZ267" s="651"/>
      <c r="JOA267" s="691"/>
      <c r="JOB267" s="651"/>
      <c r="JOC267" s="691"/>
      <c r="JOD267" s="651"/>
      <c r="JOE267" s="691"/>
      <c r="JOF267" s="651"/>
      <c r="JOG267" s="691"/>
      <c r="JOH267" s="651"/>
      <c r="JOI267" s="691"/>
      <c r="JOJ267" s="651"/>
      <c r="JOK267" s="691"/>
      <c r="JOL267" s="651"/>
      <c r="JOM267" s="691"/>
      <c r="JON267" s="651"/>
      <c r="JOO267" s="691"/>
      <c r="JOP267" s="651"/>
      <c r="JOQ267" s="691"/>
      <c r="JOR267" s="651"/>
      <c r="JOS267" s="691"/>
      <c r="JOT267" s="651"/>
      <c r="JOU267" s="691"/>
      <c r="JOV267" s="651"/>
      <c r="JOW267" s="691"/>
      <c r="JOX267" s="651"/>
      <c r="JOY267" s="691"/>
      <c r="JOZ267" s="651"/>
      <c r="JPA267" s="691"/>
      <c r="JPB267" s="651"/>
      <c r="JPC267" s="691"/>
      <c r="JPD267" s="651"/>
      <c r="JPE267" s="691"/>
      <c r="JPF267" s="651"/>
      <c r="JPG267" s="691"/>
      <c r="JPH267" s="651"/>
      <c r="JPI267" s="691"/>
      <c r="JPJ267" s="651"/>
      <c r="JPK267" s="691"/>
      <c r="JPL267" s="651"/>
      <c r="JPM267" s="691"/>
      <c r="JPN267" s="651"/>
      <c r="JPO267" s="691"/>
      <c r="JPP267" s="651"/>
      <c r="JPQ267" s="691"/>
      <c r="JPR267" s="651"/>
      <c r="JPS267" s="691"/>
      <c r="JPT267" s="651"/>
      <c r="JPU267" s="691"/>
      <c r="JPV267" s="651"/>
      <c r="JPW267" s="691"/>
      <c r="JPX267" s="651"/>
      <c r="JPY267" s="691"/>
      <c r="JPZ267" s="651"/>
      <c r="JQA267" s="691"/>
      <c r="JQB267" s="651"/>
      <c r="JQC267" s="691"/>
      <c r="JQD267" s="651"/>
      <c r="JQE267" s="691"/>
      <c r="JQF267" s="651"/>
      <c r="JQG267" s="691"/>
      <c r="JQH267" s="651"/>
      <c r="JQI267" s="691"/>
      <c r="JQJ267" s="651"/>
      <c r="JQK267" s="691"/>
      <c r="JQL267" s="651"/>
      <c r="JQM267" s="691"/>
      <c r="JQN267" s="651"/>
      <c r="JQO267" s="691"/>
      <c r="JQP267" s="651"/>
      <c r="JQQ267" s="691"/>
      <c r="JQR267" s="651"/>
      <c r="JQS267" s="691"/>
      <c r="JQT267" s="651"/>
      <c r="JQU267" s="691"/>
      <c r="JQV267" s="651"/>
      <c r="JQW267" s="691"/>
      <c r="JQX267" s="651"/>
      <c r="JQY267" s="691"/>
      <c r="JQZ267" s="651"/>
      <c r="JRA267" s="691"/>
      <c r="JRB267" s="651"/>
      <c r="JRC267" s="691"/>
      <c r="JRD267" s="651"/>
      <c r="JRE267" s="691"/>
      <c r="JRF267" s="651"/>
      <c r="JRG267" s="691"/>
      <c r="JRH267" s="651"/>
      <c r="JRI267" s="691"/>
      <c r="JRJ267" s="651"/>
      <c r="JRK267" s="691"/>
      <c r="JRL267" s="651"/>
      <c r="JRM267" s="691"/>
      <c r="JRN267" s="651"/>
      <c r="JRO267" s="691"/>
      <c r="JRP267" s="651"/>
      <c r="JRQ267" s="691"/>
      <c r="JRR267" s="651"/>
      <c r="JRS267" s="691"/>
      <c r="JRT267" s="651"/>
      <c r="JRU267" s="691"/>
      <c r="JRV267" s="651"/>
      <c r="JRW267" s="691"/>
      <c r="JRX267" s="651"/>
      <c r="JRY267" s="691"/>
      <c r="JRZ267" s="651"/>
      <c r="JSA267" s="691"/>
      <c r="JSB267" s="651"/>
      <c r="JSC267" s="691"/>
      <c r="JSD267" s="651"/>
      <c r="JSE267" s="691"/>
      <c r="JSF267" s="651"/>
      <c r="JSG267" s="691"/>
      <c r="JSH267" s="651"/>
      <c r="JSI267" s="691"/>
      <c r="JSJ267" s="651"/>
      <c r="JSK267" s="691"/>
      <c r="JSL267" s="651"/>
      <c r="JSM267" s="691"/>
      <c r="JSN267" s="651"/>
      <c r="JSO267" s="691"/>
      <c r="JSP267" s="651"/>
      <c r="JSQ267" s="691"/>
      <c r="JSR267" s="651"/>
      <c r="JSS267" s="691"/>
      <c r="JST267" s="651"/>
      <c r="JSU267" s="691"/>
      <c r="JSV267" s="651"/>
      <c r="JSW267" s="691"/>
      <c r="JSX267" s="651"/>
      <c r="JSY267" s="691"/>
      <c r="JSZ267" s="651"/>
      <c r="JTA267" s="691"/>
      <c r="JTB267" s="651"/>
      <c r="JTC267" s="691"/>
      <c r="JTD267" s="651"/>
      <c r="JTE267" s="691"/>
      <c r="JTF267" s="651"/>
      <c r="JTG267" s="691"/>
      <c r="JTH267" s="651"/>
      <c r="JTI267" s="691"/>
      <c r="JTJ267" s="651"/>
      <c r="JTK267" s="691"/>
      <c r="JTL267" s="651"/>
      <c r="JTM267" s="691"/>
      <c r="JTN267" s="651"/>
      <c r="JTO267" s="691"/>
      <c r="JTP267" s="651"/>
      <c r="JTQ267" s="691"/>
      <c r="JTR267" s="651"/>
      <c r="JTS267" s="691"/>
      <c r="JTT267" s="651"/>
      <c r="JTU267" s="691"/>
      <c r="JTV267" s="651"/>
      <c r="JTW267" s="691"/>
      <c r="JTX267" s="651"/>
      <c r="JTY267" s="691"/>
      <c r="JTZ267" s="651"/>
      <c r="JUA267" s="691"/>
      <c r="JUB267" s="651"/>
      <c r="JUC267" s="691"/>
      <c r="JUD267" s="651"/>
      <c r="JUE267" s="691"/>
      <c r="JUF267" s="651"/>
      <c r="JUG267" s="691"/>
      <c r="JUH267" s="651"/>
      <c r="JUI267" s="691"/>
      <c r="JUJ267" s="651"/>
      <c r="JUK267" s="691"/>
      <c r="JUL267" s="651"/>
      <c r="JUM267" s="691"/>
      <c r="JUN267" s="651"/>
      <c r="JUO267" s="691"/>
      <c r="JUP267" s="651"/>
      <c r="JUQ267" s="691"/>
      <c r="JUR267" s="651"/>
      <c r="JUS267" s="691"/>
      <c r="JUT267" s="651"/>
      <c r="JUU267" s="691"/>
      <c r="JUV267" s="651"/>
      <c r="JUW267" s="691"/>
      <c r="JUX267" s="651"/>
      <c r="JUY267" s="691"/>
      <c r="JUZ267" s="651"/>
      <c r="JVA267" s="691"/>
      <c r="JVB267" s="651"/>
      <c r="JVC267" s="691"/>
      <c r="JVD267" s="651"/>
      <c r="JVE267" s="691"/>
      <c r="JVF267" s="651"/>
      <c r="JVG267" s="691"/>
      <c r="JVH267" s="651"/>
      <c r="JVI267" s="691"/>
      <c r="JVJ267" s="651"/>
      <c r="JVK267" s="691"/>
      <c r="JVL267" s="651"/>
      <c r="JVM267" s="691"/>
      <c r="JVN267" s="651"/>
      <c r="JVO267" s="691"/>
      <c r="JVP267" s="651"/>
      <c r="JVQ267" s="691"/>
      <c r="JVR267" s="651"/>
      <c r="JVS267" s="691"/>
      <c r="JVT267" s="651"/>
      <c r="JVU267" s="691"/>
      <c r="JVV267" s="651"/>
      <c r="JVW267" s="691"/>
      <c r="JVX267" s="651"/>
      <c r="JVY267" s="691"/>
      <c r="JVZ267" s="651"/>
      <c r="JWA267" s="691"/>
      <c r="JWB267" s="651"/>
      <c r="JWC267" s="691"/>
      <c r="JWD267" s="651"/>
      <c r="JWE267" s="691"/>
      <c r="JWF267" s="651"/>
      <c r="JWG267" s="691"/>
      <c r="JWH267" s="651"/>
      <c r="JWI267" s="691"/>
      <c r="JWJ267" s="651"/>
      <c r="JWK267" s="691"/>
      <c r="JWL267" s="651"/>
      <c r="JWM267" s="691"/>
      <c r="JWN267" s="651"/>
      <c r="JWO267" s="691"/>
      <c r="JWP267" s="651"/>
      <c r="JWQ267" s="691"/>
      <c r="JWR267" s="651"/>
      <c r="JWS267" s="691"/>
      <c r="JWT267" s="651"/>
      <c r="JWU267" s="691"/>
      <c r="JWV267" s="651"/>
      <c r="JWW267" s="691"/>
      <c r="JWX267" s="651"/>
      <c r="JWY267" s="691"/>
      <c r="JWZ267" s="651"/>
      <c r="JXA267" s="691"/>
      <c r="JXB267" s="651"/>
      <c r="JXC267" s="691"/>
      <c r="JXD267" s="651"/>
      <c r="JXE267" s="691"/>
      <c r="JXF267" s="651"/>
      <c r="JXG267" s="691"/>
      <c r="JXH267" s="651"/>
      <c r="JXI267" s="691"/>
      <c r="JXJ267" s="651"/>
      <c r="JXK267" s="691"/>
      <c r="JXL267" s="651"/>
      <c r="JXM267" s="691"/>
      <c r="JXN267" s="651"/>
      <c r="JXO267" s="691"/>
      <c r="JXP267" s="651"/>
      <c r="JXQ267" s="691"/>
      <c r="JXR267" s="651"/>
      <c r="JXS267" s="691"/>
      <c r="JXT267" s="651"/>
      <c r="JXU267" s="691"/>
      <c r="JXV267" s="651"/>
      <c r="JXW267" s="691"/>
      <c r="JXX267" s="651"/>
      <c r="JXY267" s="691"/>
      <c r="JXZ267" s="651"/>
      <c r="JYA267" s="691"/>
      <c r="JYB267" s="651"/>
      <c r="JYC267" s="691"/>
      <c r="JYD267" s="651"/>
      <c r="JYE267" s="691"/>
      <c r="JYF267" s="651"/>
      <c r="JYG267" s="691"/>
      <c r="JYH267" s="651"/>
      <c r="JYI267" s="691"/>
      <c r="JYJ267" s="651"/>
      <c r="JYK267" s="691"/>
      <c r="JYL267" s="651"/>
      <c r="JYM267" s="691"/>
      <c r="JYN267" s="651"/>
      <c r="JYO267" s="691"/>
      <c r="JYP267" s="651"/>
      <c r="JYQ267" s="691"/>
      <c r="JYR267" s="651"/>
      <c r="JYS267" s="691"/>
      <c r="JYT267" s="651"/>
      <c r="JYU267" s="691"/>
      <c r="JYV267" s="651"/>
      <c r="JYW267" s="691"/>
      <c r="JYX267" s="651"/>
      <c r="JYY267" s="691"/>
      <c r="JYZ267" s="651"/>
      <c r="JZA267" s="691"/>
      <c r="JZB267" s="651"/>
      <c r="JZC267" s="691"/>
      <c r="JZD267" s="651"/>
      <c r="JZE267" s="691"/>
      <c r="JZF267" s="651"/>
      <c r="JZG267" s="691"/>
      <c r="JZH267" s="651"/>
      <c r="JZI267" s="691"/>
      <c r="JZJ267" s="651"/>
      <c r="JZK267" s="691"/>
      <c r="JZL267" s="651"/>
      <c r="JZM267" s="691"/>
      <c r="JZN267" s="651"/>
      <c r="JZO267" s="691"/>
      <c r="JZP267" s="651"/>
      <c r="JZQ267" s="691"/>
      <c r="JZR267" s="651"/>
      <c r="JZS267" s="691"/>
      <c r="JZT267" s="651"/>
      <c r="JZU267" s="691"/>
      <c r="JZV267" s="651"/>
      <c r="JZW267" s="691"/>
      <c r="JZX267" s="651"/>
      <c r="JZY267" s="691"/>
      <c r="JZZ267" s="651"/>
      <c r="KAA267" s="691"/>
      <c r="KAB267" s="651"/>
      <c r="KAC267" s="691"/>
      <c r="KAD267" s="651"/>
      <c r="KAE267" s="691"/>
      <c r="KAF267" s="651"/>
      <c r="KAG267" s="691"/>
      <c r="KAH267" s="651"/>
      <c r="KAI267" s="691"/>
      <c r="KAJ267" s="651"/>
      <c r="KAK267" s="691"/>
      <c r="KAL267" s="651"/>
      <c r="KAM267" s="691"/>
      <c r="KAN267" s="651"/>
      <c r="KAO267" s="691"/>
      <c r="KAP267" s="651"/>
      <c r="KAQ267" s="691"/>
      <c r="KAR267" s="651"/>
      <c r="KAS267" s="691"/>
      <c r="KAT267" s="651"/>
      <c r="KAU267" s="691"/>
      <c r="KAV267" s="651"/>
      <c r="KAW267" s="691"/>
      <c r="KAX267" s="651"/>
      <c r="KAY267" s="691"/>
      <c r="KAZ267" s="651"/>
      <c r="KBA267" s="691"/>
      <c r="KBB267" s="651"/>
      <c r="KBC267" s="691"/>
      <c r="KBD267" s="651"/>
      <c r="KBE267" s="691"/>
      <c r="KBF267" s="651"/>
      <c r="KBG267" s="691"/>
      <c r="KBH267" s="651"/>
      <c r="KBI267" s="691"/>
      <c r="KBJ267" s="651"/>
      <c r="KBK267" s="691"/>
      <c r="KBL267" s="651"/>
      <c r="KBM267" s="691"/>
      <c r="KBN267" s="651"/>
      <c r="KBO267" s="691"/>
      <c r="KBP267" s="651"/>
      <c r="KBQ267" s="691"/>
      <c r="KBR267" s="651"/>
      <c r="KBS267" s="691"/>
      <c r="KBT267" s="651"/>
      <c r="KBU267" s="691"/>
      <c r="KBV267" s="651"/>
      <c r="KBW267" s="691"/>
      <c r="KBX267" s="651"/>
      <c r="KBY267" s="691"/>
      <c r="KBZ267" s="651"/>
      <c r="KCA267" s="691"/>
      <c r="KCB267" s="651"/>
      <c r="KCC267" s="691"/>
      <c r="KCD267" s="651"/>
      <c r="KCE267" s="691"/>
      <c r="KCF267" s="651"/>
      <c r="KCG267" s="691"/>
      <c r="KCH267" s="651"/>
      <c r="KCI267" s="691"/>
      <c r="KCJ267" s="651"/>
      <c r="KCK267" s="691"/>
      <c r="KCL267" s="651"/>
      <c r="KCM267" s="691"/>
      <c r="KCN267" s="651"/>
      <c r="KCO267" s="691"/>
      <c r="KCP267" s="651"/>
      <c r="KCQ267" s="691"/>
      <c r="KCR267" s="651"/>
      <c r="KCS267" s="691"/>
      <c r="KCT267" s="651"/>
      <c r="KCU267" s="691"/>
      <c r="KCV267" s="651"/>
      <c r="KCW267" s="691"/>
      <c r="KCX267" s="651"/>
      <c r="KCY267" s="691"/>
      <c r="KCZ267" s="651"/>
      <c r="KDA267" s="691"/>
      <c r="KDB267" s="651"/>
      <c r="KDC267" s="691"/>
      <c r="KDD267" s="651"/>
      <c r="KDE267" s="691"/>
      <c r="KDF267" s="651"/>
      <c r="KDG267" s="691"/>
      <c r="KDH267" s="651"/>
      <c r="KDI267" s="691"/>
      <c r="KDJ267" s="651"/>
      <c r="KDK267" s="691"/>
      <c r="KDL267" s="651"/>
      <c r="KDM267" s="691"/>
      <c r="KDN267" s="651"/>
      <c r="KDO267" s="691"/>
      <c r="KDP267" s="651"/>
      <c r="KDQ267" s="691"/>
      <c r="KDR267" s="651"/>
      <c r="KDS267" s="691"/>
      <c r="KDT267" s="651"/>
      <c r="KDU267" s="691"/>
      <c r="KDV267" s="651"/>
      <c r="KDW267" s="691"/>
      <c r="KDX267" s="651"/>
      <c r="KDY267" s="691"/>
      <c r="KDZ267" s="651"/>
      <c r="KEA267" s="691"/>
      <c r="KEB267" s="651"/>
      <c r="KEC267" s="691"/>
      <c r="KED267" s="651"/>
      <c r="KEE267" s="691"/>
      <c r="KEF267" s="651"/>
      <c r="KEG267" s="691"/>
      <c r="KEH267" s="651"/>
      <c r="KEI267" s="691"/>
      <c r="KEJ267" s="651"/>
      <c r="KEK267" s="691"/>
      <c r="KEL267" s="651"/>
      <c r="KEM267" s="691"/>
      <c r="KEN267" s="651"/>
      <c r="KEO267" s="691"/>
      <c r="KEP267" s="651"/>
      <c r="KEQ267" s="691"/>
      <c r="KER267" s="651"/>
      <c r="KES267" s="691"/>
      <c r="KET267" s="651"/>
      <c r="KEU267" s="691"/>
      <c r="KEV267" s="651"/>
      <c r="KEW267" s="691"/>
      <c r="KEX267" s="651"/>
      <c r="KEY267" s="691"/>
      <c r="KEZ267" s="651"/>
      <c r="KFA267" s="691"/>
      <c r="KFB267" s="651"/>
      <c r="KFC267" s="691"/>
      <c r="KFD267" s="651"/>
      <c r="KFE267" s="691"/>
      <c r="KFF267" s="651"/>
      <c r="KFG267" s="691"/>
      <c r="KFH267" s="651"/>
      <c r="KFI267" s="691"/>
      <c r="KFJ267" s="651"/>
      <c r="KFK267" s="691"/>
      <c r="KFL267" s="651"/>
      <c r="KFM267" s="691"/>
      <c r="KFN267" s="651"/>
      <c r="KFO267" s="691"/>
      <c r="KFP267" s="651"/>
      <c r="KFQ267" s="691"/>
      <c r="KFR267" s="651"/>
      <c r="KFS267" s="691"/>
      <c r="KFT267" s="651"/>
      <c r="KFU267" s="691"/>
      <c r="KFV267" s="651"/>
      <c r="KFW267" s="691"/>
      <c r="KFX267" s="651"/>
      <c r="KFY267" s="691"/>
      <c r="KFZ267" s="651"/>
      <c r="KGA267" s="691"/>
      <c r="KGB267" s="651"/>
      <c r="KGC267" s="691"/>
      <c r="KGD267" s="651"/>
      <c r="KGE267" s="691"/>
      <c r="KGF267" s="651"/>
      <c r="KGG267" s="691"/>
      <c r="KGH267" s="651"/>
      <c r="KGI267" s="691"/>
      <c r="KGJ267" s="651"/>
      <c r="KGK267" s="691"/>
      <c r="KGL267" s="651"/>
      <c r="KGM267" s="691"/>
      <c r="KGN267" s="651"/>
      <c r="KGO267" s="691"/>
      <c r="KGP267" s="651"/>
      <c r="KGQ267" s="691"/>
      <c r="KGR267" s="651"/>
      <c r="KGS267" s="691"/>
      <c r="KGT267" s="651"/>
      <c r="KGU267" s="691"/>
      <c r="KGV267" s="651"/>
      <c r="KGW267" s="691"/>
      <c r="KGX267" s="651"/>
      <c r="KGY267" s="691"/>
      <c r="KGZ267" s="651"/>
      <c r="KHA267" s="691"/>
      <c r="KHB267" s="651"/>
      <c r="KHC267" s="691"/>
      <c r="KHD267" s="651"/>
      <c r="KHE267" s="691"/>
      <c r="KHF267" s="651"/>
      <c r="KHG267" s="691"/>
      <c r="KHH267" s="651"/>
      <c r="KHI267" s="691"/>
      <c r="KHJ267" s="651"/>
      <c r="KHK267" s="691"/>
      <c r="KHL267" s="651"/>
      <c r="KHM267" s="691"/>
      <c r="KHN267" s="651"/>
      <c r="KHO267" s="691"/>
      <c r="KHP267" s="651"/>
      <c r="KHQ267" s="691"/>
      <c r="KHR267" s="651"/>
      <c r="KHS267" s="691"/>
      <c r="KHT267" s="651"/>
      <c r="KHU267" s="691"/>
      <c r="KHV267" s="651"/>
      <c r="KHW267" s="691"/>
      <c r="KHX267" s="651"/>
      <c r="KHY267" s="691"/>
      <c r="KHZ267" s="651"/>
      <c r="KIA267" s="691"/>
      <c r="KIB267" s="651"/>
      <c r="KIC267" s="691"/>
      <c r="KID267" s="651"/>
      <c r="KIE267" s="691"/>
      <c r="KIF267" s="651"/>
      <c r="KIG267" s="691"/>
      <c r="KIH267" s="651"/>
      <c r="KII267" s="691"/>
      <c r="KIJ267" s="651"/>
      <c r="KIK267" s="691"/>
      <c r="KIL267" s="651"/>
      <c r="KIM267" s="691"/>
      <c r="KIN267" s="651"/>
      <c r="KIO267" s="691"/>
      <c r="KIP267" s="651"/>
      <c r="KIQ267" s="691"/>
      <c r="KIR267" s="651"/>
      <c r="KIS267" s="691"/>
      <c r="KIT267" s="651"/>
      <c r="KIU267" s="691"/>
      <c r="KIV267" s="651"/>
      <c r="KIW267" s="691"/>
      <c r="KIX267" s="651"/>
      <c r="KIY267" s="691"/>
      <c r="KIZ267" s="651"/>
      <c r="KJA267" s="691"/>
      <c r="KJB267" s="651"/>
      <c r="KJC267" s="691"/>
      <c r="KJD267" s="651"/>
      <c r="KJE267" s="691"/>
      <c r="KJF267" s="651"/>
      <c r="KJG267" s="691"/>
      <c r="KJH267" s="651"/>
      <c r="KJI267" s="691"/>
      <c r="KJJ267" s="651"/>
      <c r="KJK267" s="691"/>
      <c r="KJL267" s="651"/>
      <c r="KJM267" s="691"/>
      <c r="KJN267" s="651"/>
      <c r="KJO267" s="691"/>
      <c r="KJP267" s="651"/>
      <c r="KJQ267" s="691"/>
      <c r="KJR267" s="651"/>
      <c r="KJS267" s="691"/>
      <c r="KJT267" s="651"/>
      <c r="KJU267" s="691"/>
      <c r="KJV267" s="651"/>
      <c r="KJW267" s="691"/>
      <c r="KJX267" s="651"/>
      <c r="KJY267" s="691"/>
      <c r="KJZ267" s="651"/>
      <c r="KKA267" s="691"/>
      <c r="KKB267" s="651"/>
      <c r="KKC267" s="691"/>
      <c r="KKD267" s="651"/>
      <c r="KKE267" s="691"/>
      <c r="KKF267" s="651"/>
      <c r="KKG267" s="691"/>
      <c r="KKH267" s="651"/>
      <c r="KKI267" s="691"/>
      <c r="KKJ267" s="651"/>
      <c r="KKK267" s="691"/>
      <c r="KKL267" s="651"/>
      <c r="KKM267" s="691"/>
      <c r="KKN267" s="651"/>
      <c r="KKO267" s="691"/>
      <c r="KKP267" s="651"/>
      <c r="KKQ267" s="691"/>
      <c r="KKR267" s="651"/>
      <c r="KKS267" s="691"/>
      <c r="KKT267" s="651"/>
      <c r="KKU267" s="691"/>
      <c r="KKV267" s="651"/>
      <c r="KKW267" s="691"/>
      <c r="KKX267" s="651"/>
      <c r="KKY267" s="691"/>
      <c r="KKZ267" s="651"/>
      <c r="KLA267" s="691"/>
      <c r="KLB267" s="651"/>
      <c r="KLC267" s="691"/>
      <c r="KLD267" s="651"/>
      <c r="KLE267" s="691"/>
      <c r="KLF267" s="651"/>
      <c r="KLG267" s="691"/>
      <c r="KLH267" s="651"/>
      <c r="KLI267" s="691"/>
      <c r="KLJ267" s="651"/>
      <c r="KLK267" s="691"/>
      <c r="KLL267" s="651"/>
      <c r="KLM267" s="691"/>
      <c r="KLN267" s="651"/>
      <c r="KLO267" s="691"/>
      <c r="KLP267" s="651"/>
      <c r="KLQ267" s="691"/>
      <c r="KLR267" s="651"/>
      <c r="KLS267" s="691"/>
      <c r="KLT267" s="651"/>
      <c r="KLU267" s="691"/>
      <c r="KLV267" s="651"/>
      <c r="KLW267" s="691"/>
      <c r="KLX267" s="651"/>
      <c r="KLY267" s="691"/>
      <c r="KLZ267" s="651"/>
      <c r="KMA267" s="691"/>
      <c r="KMB267" s="651"/>
      <c r="KMC267" s="691"/>
      <c r="KMD267" s="651"/>
      <c r="KME267" s="691"/>
      <c r="KMF267" s="651"/>
      <c r="KMG267" s="691"/>
      <c r="KMH267" s="651"/>
      <c r="KMI267" s="691"/>
      <c r="KMJ267" s="651"/>
      <c r="KMK267" s="691"/>
      <c r="KML267" s="651"/>
      <c r="KMM267" s="691"/>
      <c r="KMN267" s="651"/>
      <c r="KMO267" s="691"/>
      <c r="KMP267" s="651"/>
      <c r="KMQ267" s="691"/>
      <c r="KMR267" s="651"/>
      <c r="KMS267" s="691"/>
      <c r="KMT267" s="651"/>
      <c r="KMU267" s="691"/>
      <c r="KMV267" s="651"/>
      <c r="KMW267" s="691"/>
      <c r="KMX267" s="651"/>
      <c r="KMY267" s="691"/>
      <c r="KMZ267" s="651"/>
      <c r="KNA267" s="691"/>
      <c r="KNB267" s="651"/>
      <c r="KNC267" s="691"/>
      <c r="KND267" s="651"/>
      <c r="KNE267" s="691"/>
      <c r="KNF267" s="651"/>
      <c r="KNG267" s="691"/>
      <c r="KNH267" s="651"/>
      <c r="KNI267" s="691"/>
      <c r="KNJ267" s="651"/>
      <c r="KNK267" s="691"/>
      <c r="KNL267" s="651"/>
      <c r="KNM267" s="691"/>
      <c r="KNN267" s="651"/>
      <c r="KNO267" s="691"/>
      <c r="KNP267" s="651"/>
      <c r="KNQ267" s="691"/>
      <c r="KNR267" s="651"/>
      <c r="KNS267" s="691"/>
      <c r="KNT267" s="651"/>
      <c r="KNU267" s="691"/>
      <c r="KNV267" s="651"/>
      <c r="KNW267" s="691"/>
      <c r="KNX267" s="651"/>
      <c r="KNY267" s="691"/>
      <c r="KNZ267" s="651"/>
      <c r="KOA267" s="691"/>
      <c r="KOB267" s="651"/>
      <c r="KOC267" s="691"/>
      <c r="KOD267" s="651"/>
      <c r="KOE267" s="691"/>
      <c r="KOF267" s="651"/>
      <c r="KOG267" s="691"/>
      <c r="KOH267" s="651"/>
      <c r="KOI267" s="691"/>
      <c r="KOJ267" s="651"/>
      <c r="KOK267" s="691"/>
      <c r="KOL267" s="651"/>
      <c r="KOM267" s="691"/>
      <c r="KON267" s="651"/>
      <c r="KOO267" s="691"/>
      <c r="KOP267" s="651"/>
      <c r="KOQ267" s="691"/>
      <c r="KOR267" s="651"/>
      <c r="KOS267" s="691"/>
      <c r="KOT267" s="651"/>
      <c r="KOU267" s="691"/>
      <c r="KOV267" s="651"/>
      <c r="KOW267" s="691"/>
      <c r="KOX267" s="651"/>
      <c r="KOY267" s="691"/>
      <c r="KOZ267" s="651"/>
      <c r="KPA267" s="691"/>
      <c r="KPB267" s="651"/>
      <c r="KPC267" s="691"/>
      <c r="KPD267" s="651"/>
      <c r="KPE267" s="691"/>
      <c r="KPF267" s="651"/>
      <c r="KPG267" s="691"/>
      <c r="KPH267" s="651"/>
      <c r="KPI267" s="691"/>
      <c r="KPJ267" s="651"/>
      <c r="KPK267" s="691"/>
      <c r="KPL267" s="651"/>
      <c r="KPM267" s="691"/>
      <c r="KPN267" s="651"/>
      <c r="KPO267" s="691"/>
      <c r="KPP267" s="651"/>
      <c r="KPQ267" s="691"/>
      <c r="KPR267" s="651"/>
      <c r="KPS267" s="691"/>
      <c r="KPT267" s="651"/>
      <c r="KPU267" s="691"/>
      <c r="KPV267" s="651"/>
      <c r="KPW267" s="691"/>
      <c r="KPX267" s="651"/>
      <c r="KPY267" s="691"/>
      <c r="KPZ267" s="651"/>
      <c r="KQA267" s="691"/>
      <c r="KQB267" s="651"/>
      <c r="KQC267" s="691"/>
      <c r="KQD267" s="651"/>
      <c r="KQE267" s="691"/>
      <c r="KQF267" s="651"/>
      <c r="KQG267" s="691"/>
      <c r="KQH267" s="651"/>
      <c r="KQI267" s="691"/>
      <c r="KQJ267" s="651"/>
      <c r="KQK267" s="691"/>
      <c r="KQL267" s="651"/>
      <c r="KQM267" s="691"/>
      <c r="KQN267" s="651"/>
      <c r="KQO267" s="691"/>
      <c r="KQP267" s="651"/>
      <c r="KQQ267" s="691"/>
      <c r="KQR267" s="651"/>
      <c r="KQS267" s="691"/>
      <c r="KQT267" s="651"/>
      <c r="KQU267" s="691"/>
      <c r="KQV267" s="651"/>
      <c r="KQW267" s="691"/>
      <c r="KQX267" s="651"/>
      <c r="KQY267" s="691"/>
      <c r="KQZ267" s="651"/>
      <c r="KRA267" s="691"/>
      <c r="KRB267" s="651"/>
      <c r="KRC267" s="691"/>
      <c r="KRD267" s="651"/>
      <c r="KRE267" s="691"/>
      <c r="KRF267" s="651"/>
      <c r="KRG267" s="691"/>
      <c r="KRH267" s="651"/>
      <c r="KRI267" s="691"/>
      <c r="KRJ267" s="651"/>
      <c r="KRK267" s="691"/>
      <c r="KRL267" s="651"/>
      <c r="KRM267" s="691"/>
      <c r="KRN267" s="651"/>
      <c r="KRO267" s="691"/>
      <c r="KRP267" s="651"/>
      <c r="KRQ267" s="691"/>
      <c r="KRR267" s="651"/>
      <c r="KRS267" s="691"/>
      <c r="KRT267" s="651"/>
      <c r="KRU267" s="691"/>
      <c r="KRV267" s="651"/>
      <c r="KRW267" s="691"/>
      <c r="KRX267" s="651"/>
      <c r="KRY267" s="691"/>
      <c r="KRZ267" s="651"/>
      <c r="KSA267" s="691"/>
      <c r="KSB267" s="651"/>
      <c r="KSC267" s="691"/>
      <c r="KSD267" s="651"/>
      <c r="KSE267" s="691"/>
      <c r="KSF267" s="651"/>
      <c r="KSG267" s="691"/>
      <c r="KSH267" s="651"/>
      <c r="KSI267" s="691"/>
      <c r="KSJ267" s="651"/>
      <c r="KSK267" s="691"/>
      <c r="KSL267" s="651"/>
      <c r="KSM267" s="691"/>
      <c r="KSN267" s="651"/>
      <c r="KSO267" s="691"/>
      <c r="KSP267" s="651"/>
      <c r="KSQ267" s="691"/>
      <c r="KSR267" s="651"/>
      <c r="KSS267" s="691"/>
      <c r="KST267" s="651"/>
      <c r="KSU267" s="691"/>
      <c r="KSV267" s="651"/>
      <c r="KSW267" s="691"/>
      <c r="KSX267" s="651"/>
      <c r="KSY267" s="691"/>
      <c r="KSZ267" s="651"/>
      <c r="KTA267" s="691"/>
      <c r="KTB267" s="651"/>
      <c r="KTC267" s="691"/>
      <c r="KTD267" s="651"/>
      <c r="KTE267" s="691"/>
      <c r="KTF267" s="651"/>
      <c r="KTG267" s="691"/>
      <c r="KTH267" s="651"/>
      <c r="KTI267" s="691"/>
      <c r="KTJ267" s="651"/>
      <c r="KTK267" s="691"/>
      <c r="KTL267" s="651"/>
      <c r="KTM267" s="691"/>
      <c r="KTN267" s="651"/>
      <c r="KTO267" s="691"/>
      <c r="KTP267" s="651"/>
      <c r="KTQ267" s="691"/>
      <c r="KTR267" s="651"/>
      <c r="KTS267" s="691"/>
      <c r="KTT267" s="651"/>
      <c r="KTU267" s="691"/>
      <c r="KTV267" s="651"/>
      <c r="KTW267" s="691"/>
      <c r="KTX267" s="651"/>
      <c r="KTY267" s="691"/>
      <c r="KTZ267" s="651"/>
      <c r="KUA267" s="691"/>
      <c r="KUB267" s="651"/>
      <c r="KUC267" s="691"/>
      <c r="KUD267" s="651"/>
      <c r="KUE267" s="691"/>
      <c r="KUF267" s="651"/>
      <c r="KUG267" s="691"/>
      <c r="KUH267" s="651"/>
      <c r="KUI267" s="691"/>
      <c r="KUJ267" s="651"/>
      <c r="KUK267" s="691"/>
      <c r="KUL267" s="651"/>
      <c r="KUM267" s="691"/>
      <c r="KUN267" s="651"/>
      <c r="KUO267" s="691"/>
      <c r="KUP267" s="651"/>
      <c r="KUQ267" s="691"/>
      <c r="KUR267" s="651"/>
      <c r="KUS267" s="691"/>
      <c r="KUT267" s="651"/>
      <c r="KUU267" s="691"/>
      <c r="KUV267" s="651"/>
      <c r="KUW267" s="691"/>
      <c r="KUX267" s="651"/>
      <c r="KUY267" s="691"/>
      <c r="KUZ267" s="651"/>
      <c r="KVA267" s="691"/>
      <c r="KVB267" s="651"/>
      <c r="KVC267" s="691"/>
      <c r="KVD267" s="651"/>
      <c r="KVE267" s="691"/>
      <c r="KVF267" s="651"/>
      <c r="KVG267" s="691"/>
      <c r="KVH267" s="651"/>
      <c r="KVI267" s="691"/>
      <c r="KVJ267" s="651"/>
      <c r="KVK267" s="691"/>
      <c r="KVL267" s="651"/>
      <c r="KVM267" s="691"/>
      <c r="KVN267" s="651"/>
      <c r="KVO267" s="691"/>
      <c r="KVP267" s="651"/>
      <c r="KVQ267" s="691"/>
      <c r="KVR267" s="651"/>
      <c r="KVS267" s="691"/>
      <c r="KVT267" s="651"/>
      <c r="KVU267" s="691"/>
      <c r="KVV267" s="651"/>
      <c r="KVW267" s="691"/>
      <c r="KVX267" s="651"/>
      <c r="KVY267" s="691"/>
      <c r="KVZ267" s="651"/>
      <c r="KWA267" s="691"/>
      <c r="KWB267" s="651"/>
      <c r="KWC267" s="691"/>
      <c r="KWD267" s="651"/>
      <c r="KWE267" s="691"/>
      <c r="KWF267" s="651"/>
      <c r="KWG267" s="691"/>
      <c r="KWH267" s="651"/>
      <c r="KWI267" s="691"/>
      <c r="KWJ267" s="651"/>
      <c r="KWK267" s="691"/>
      <c r="KWL267" s="651"/>
      <c r="KWM267" s="691"/>
      <c r="KWN267" s="651"/>
      <c r="KWO267" s="691"/>
      <c r="KWP267" s="651"/>
      <c r="KWQ267" s="691"/>
      <c r="KWR267" s="651"/>
      <c r="KWS267" s="691"/>
      <c r="KWT267" s="651"/>
      <c r="KWU267" s="691"/>
      <c r="KWV267" s="651"/>
      <c r="KWW267" s="691"/>
      <c r="KWX267" s="651"/>
      <c r="KWY267" s="691"/>
      <c r="KWZ267" s="651"/>
      <c r="KXA267" s="691"/>
      <c r="KXB267" s="651"/>
      <c r="KXC267" s="691"/>
      <c r="KXD267" s="651"/>
      <c r="KXE267" s="691"/>
      <c r="KXF267" s="651"/>
      <c r="KXG267" s="691"/>
      <c r="KXH267" s="651"/>
      <c r="KXI267" s="691"/>
      <c r="KXJ267" s="651"/>
      <c r="KXK267" s="691"/>
      <c r="KXL267" s="651"/>
      <c r="KXM267" s="691"/>
      <c r="KXN267" s="651"/>
      <c r="KXO267" s="691"/>
      <c r="KXP267" s="651"/>
      <c r="KXQ267" s="691"/>
      <c r="KXR267" s="651"/>
      <c r="KXS267" s="691"/>
      <c r="KXT267" s="651"/>
      <c r="KXU267" s="691"/>
      <c r="KXV267" s="651"/>
      <c r="KXW267" s="691"/>
      <c r="KXX267" s="651"/>
      <c r="KXY267" s="691"/>
      <c r="KXZ267" s="651"/>
      <c r="KYA267" s="691"/>
      <c r="KYB267" s="651"/>
      <c r="KYC267" s="691"/>
      <c r="KYD267" s="651"/>
      <c r="KYE267" s="691"/>
      <c r="KYF267" s="651"/>
      <c r="KYG267" s="691"/>
      <c r="KYH267" s="651"/>
      <c r="KYI267" s="691"/>
      <c r="KYJ267" s="651"/>
      <c r="KYK267" s="691"/>
      <c r="KYL267" s="651"/>
      <c r="KYM267" s="691"/>
      <c r="KYN267" s="651"/>
      <c r="KYO267" s="691"/>
      <c r="KYP267" s="651"/>
      <c r="KYQ267" s="691"/>
      <c r="KYR267" s="651"/>
      <c r="KYS267" s="691"/>
      <c r="KYT267" s="651"/>
      <c r="KYU267" s="691"/>
      <c r="KYV267" s="651"/>
      <c r="KYW267" s="691"/>
      <c r="KYX267" s="651"/>
      <c r="KYY267" s="691"/>
      <c r="KYZ267" s="651"/>
      <c r="KZA267" s="691"/>
      <c r="KZB267" s="651"/>
      <c r="KZC267" s="691"/>
      <c r="KZD267" s="651"/>
      <c r="KZE267" s="691"/>
      <c r="KZF267" s="651"/>
      <c r="KZG267" s="691"/>
      <c r="KZH267" s="651"/>
      <c r="KZI267" s="691"/>
      <c r="KZJ267" s="651"/>
      <c r="KZK267" s="691"/>
      <c r="KZL267" s="651"/>
      <c r="KZM267" s="691"/>
      <c r="KZN267" s="651"/>
      <c r="KZO267" s="691"/>
      <c r="KZP267" s="651"/>
      <c r="KZQ267" s="691"/>
      <c r="KZR267" s="651"/>
      <c r="KZS267" s="691"/>
      <c r="KZT267" s="651"/>
      <c r="KZU267" s="691"/>
      <c r="KZV267" s="651"/>
      <c r="KZW267" s="691"/>
      <c r="KZX267" s="651"/>
      <c r="KZY267" s="691"/>
      <c r="KZZ267" s="651"/>
      <c r="LAA267" s="691"/>
      <c r="LAB267" s="651"/>
      <c r="LAC267" s="691"/>
      <c r="LAD267" s="651"/>
      <c r="LAE267" s="691"/>
      <c r="LAF267" s="651"/>
      <c r="LAG267" s="691"/>
      <c r="LAH267" s="651"/>
      <c r="LAI267" s="691"/>
      <c r="LAJ267" s="651"/>
      <c r="LAK267" s="691"/>
      <c r="LAL267" s="651"/>
      <c r="LAM267" s="691"/>
      <c r="LAN267" s="651"/>
      <c r="LAO267" s="691"/>
      <c r="LAP267" s="651"/>
      <c r="LAQ267" s="691"/>
      <c r="LAR267" s="651"/>
      <c r="LAS267" s="691"/>
      <c r="LAT267" s="651"/>
      <c r="LAU267" s="691"/>
      <c r="LAV267" s="651"/>
      <c r="LAW267" s="691"/>
      <c r="LAX267" s="651"/>
      <c r="LAY267" s="691"/>
      <c r="LAZ267" s="651"/>
      <c r="LBA267" s="691"/>
      <c r="LBB267" s="651"/>
      <c r="LBC267" s="691"/>
      <c r="LBD267" s="651"/>
      <c r="LBE267" s="691"/>
      <c r="LBF267" s="651"/>
      <c r="LBG267" s="691"/>
      <c r="LBH267" s="651"/>
      <c r="LBI267" s="691"/>
      <c r="LBJ267" s="651"/>
      <c r="LBK267" s="691"/>
      <c r="LBL267" s="651"/>
      <c r="LBM267" s="691"/>
      <c r="LBN267" s="651"/>
      <c r="LBO267" s="691"/>
      <c r="LBP267" s="651"/>
      <c r="LBQ267" s="691"/>
      <c r="LBR267" s="651"/>
      <c r="LBS267" s="691"/>
      <c r="LBT267" s="651"/>
      <c r="LBU267" s="691"/>
      <c r="LBV267" s="651"/>
      <c r="LBW267" s="691"/>
      <c r="LBX267" s="651"/>
      <c r="LBY267" s="691"/>
      <c r="LBZ267" s="651"/>
      <c r="LCA267" s="691"/>
      <c r="LCB267" s="651"/>
      <c r="LCC267" s="691"/>
      <c r="LCD267" s="651"/>
      <c r="LCE267" s="691"/>
      <c r="LCF267" s="651"/>
      <c r="LCG267" s="691"/>
      <c r="LCH267" s="651"/>
      <c r="LCI267" s="691"/>
      <c r="LCJ267" s="651"/>
      <c r="LCK267" s="691"/>
      <c r="LCL267" s="651"/>
      <c r="LCM267" s="691"/>
      <c r="LCN267" s="651"/>
      <c r="LCO267" s="691"/>
      <c r="LCP267" s="651"/>
      <c r="LCQ267" s="691"/>
      <c r="LCR267" s="651"/>
      <c r="LCS267" s="691"/>
      <c r="LCT267" s="651"/>
      <c r="LCU267" s="691"/>
      <c r="LCV267" s="651"/>
      <c r="LCW267" s="691"/>
      <c r="LCX267" s="651"/>
      <c r="LCY267" s="691"/>
      <c r="LCZ267" s="651"/>
      <c r="LDA267" s="691"/>
      <c r="LDB267" s="651"/>
      <c r="LDC267" s="691"/>
      <c r="LDD267" s="651"/>
      <c r="LDE267" s="691"/>
      <c r="LDF267" s="651"/>
      <c r="LDG267" s="691"/>
      <c r="LDH267" s="651"/>
      <c r="LDI267" s="691"/>
      <c r="LDJ267" s="651"/>
      <c r="LDK267" s="691"/>
      <c r="LDL267" s="651"/>
      <c r="LDM267" s="691"/>
      <c r="LDN267" s="651"/>
      <c r="LDO267" s="691"/>
      <c r="LDP267" s="651"/>
      <c r="LDQ267" s="691"/>
      <c r="LDR267" s="651"/>
      <c r="LDS267" s="691"/>
      <c r="LDT267" s="651"/>
      <c r="LDU267" s="691"/>
      <c r="LDV267" s="651"/>
      <c r="LDW267" s="691"/>
      <c r="LDX267" s="651"/>
      <c r="LDY267" s="691"/>
      <c r="LDZ267" s="651"/>
      <c r="LEA267" s="691"/>
      <c r="LEB267" s="651"/>
      <c r="LEC267" s="691"/>
      <c r="LED267" s="651"/>
      <c r="LEE267" s="691"/>
      <c r="LEF267" s="651"/>
      <c r="LEG267" s="691"/>
      <c r="LEH267" s="651"/>
      <c r="LEI267" s="691"/>
      <c r="LEJ267" s="651"/>
      <c r="LEK267" s="691"/>
      <c r="LEL267" s="651"/>
      <c r="LEM267" s="691"/>
      <c r="LEN267" s="651"/>
      <c r="LEO267" s="691"/>
      <c r="LEP267" s="651"/>
      <c r="LEQ267" s="691"/>
      <c r="LER267" s="651"/>
      <c r="LES267" s="691"/>
      <c r="LET267" s="651"/>
      <c r="LEU267" s="691"/>
      <c r="LEV267" s="651"/>
      <c r="LEW267" s="691"/>
      <c r="LEX267" s="651"/>
      <c r="LEY267" s="691"/>
      <c r="LEZ267" s="651"/>
      <c r="LFA267" s="691"/>
      <c r="LFB267" s="651"/>
      <c r="LFC267" s="691"/>
      <c r="LFD267" s="651"/>
      <c r="LFE267" s="691"/>
      <c r="LFF267" s="651"/>
      <c r="LFG267" s="691"/>
      <c r="LFH267" s="651"/>
      <c r="LFI267" s="691"/>
      <c r="LFJ267" s="651"/>
      <c r="LFK267" s="691"/>
      <c r="LFL267" s="651"/>
      <c r="LFM267" s="691"/>
      <c r="LFN267" s="651"/>
      <c r="LFO267" s="691"/>
      <c r="LFP267" s="651"/>
      <c r="LFQ267" s="691"/>
      <c r="LFR267" s="651"/>
      <c r="LFS267" s="691"/>
      <c r="LFT267" s="651"/>
      <c r="LFU267" s="691"/>
      <c r="LFV267" s="651"/>
      <c r="LFW267" s="691"/>
      <c r="LFX267" s="651"/>
      <c r="LFY267" s="691"/>
      <c r="LFZ267" s="651"/>
      <c r="LGA267" s="691"/>
      <c r="LGB267" s="651"/>
      <c r="LGC267" s="691"/>
      <c r="LGD267" s="651"/>
      <c r="LGE267" s="691"/>
      <c r="LGF267" s="651"/>
      <c r="LGG267" s="691"/>
      <c r="LGH267" s="651"/>
      <c r="LGI267" s="691"/>
      <c r="LGJ267" s="651"/>
      <c r="LGK267" s="691"/>
      <c r="LGL267" s="651"/>
      <c r="LGM267" s="691"/>
      <c r="LGN267" s="651"/>
      <c r="LGO267" s="691"/>
      <c r="LGP267" s="651"/>
      <c r="LGQ267" s="691"/>
      <c r="LGR267" s="651"/>
      <c r="LGS267" s="691"/>
      <c r="LGT267" s="651"/>
      <c r="LGU267" s="691"/>
      <c r="LGV267" s="651"/>
      <c r="LGW267" s="691"/>
      <c r="LGX267" s="651"/>
      <c r="LGY267" s="691"/>
      <c r="LGZ267" s="651"/>
      <c r="LHA267" s="691"/>
      <c r="LHB267" s="651"/>
      <c r="LHC267" s="691"/>
      <c r="LHD267" s="651"/>
      <c r="LHE267" s="691"/>
      <c r="LHF267" s="651"/>
      <c r="LHG267" s="691"/>
      <c r="LHH267" s="651"/>
      <c r="LHI267" s="691"/>
      <c r="LHJ267" s="651"/>
      <c r="LHK267" s="691"/>
      <c r="LHL267" s="651"/>
      <c r="LHM267" s="691"/>
      <c r="LHN267" s="651"/>
      <c r="LHO267" s="691"/>
      <c r="LHP267" s="651"/>
      <c r="LHQ267" s="691"/>
      <c r="LHR267" s="651"/>
      <c r="LHS267" s="691"/>
      <c r="LHT267" s="651"/>
      <c r="LHU267" s="691"/>
      <c r="LHV267" s="651"/>
      <c r="LHW267" s="691"/>
      <c r="LHX267" s="651"/>
      <c r="LHY267" s="691"/>
      <c r="LHZ267" s="651"/>
      <c r="LIA267" s="691"/>
      <c r="LIB267" s="651"/>
      <c r="LIC267" s="691"/>
      <c r="LID267" s="651"/>
      <c r="LIE267" s="691"/>
      <c r="LIF267" s="651"/>
      <c r="LIG267" s="691"/>
      <c r="LIH267" s="651"/>
      <c r="LII267" s="691"/>
      <c r="LIJ267" s="651"/>
      <c r="LIK267" s="691"/>
      <c r="LIL267" s="651"/>
      <c r="LIM267" s="691"/>
      <c r="LIN267" s="651"/>
      <c r="LIO267" s="691"/>
      <c r="LIP267" s="651"/>
      <c r="LIQ267" s="691"/>
      <c r="LIR267" s="651"/>
      <c r="LIS267" s="691"/>
      <c r="LIT267" s="651"/>
      <c r="LIU267" s="691"/>
      <c r="LIV267" s="651"/>
      <c r="LIW267" s="691"/>
      <c r="LIX267" s="651"/>
      <c r="LIY267" s="691"/>
      <c r="LIZ267" s="651"/>
      <c r="LJA267" s="691"/>
      <c r="LJB267" s="651"/>
      <c r="LJC267" s="691"/>
      <c r="LJD267" s="651"/>
      <c r="LJE267" s="691"/>
      <c r="LJF267" s="651"/>
      <c r="LJG267" s="691"/>
      <c r="LJH267" s="651"/>
      <c r="LJI267" s="691"/>
      <c r="LJJ267" s="651"/>
      <c r="LJK267" s="691"/>
      <c r="LJL267" s="651"/>
      <c r="LJM267" s="691"/>
      <c r="LJN267" s="651"/>
      <c r="LJO267" s="691"/>
      <c r="LJP267" s="651"/>
      <c r="LJQ267" s="691"/>
      <c r="LJR267" s="651"/>
      <c r="LJS267" s="691"/>
      <c r="LJT267" s="651"/>
      <c r="LJU267" s="691"/>
      <c r="LJV267" s="651"/>
      <c r="LJW267" s="691"/>
      <c r="LJX267" s="651"/>
      <c r="LJY267" s="691"/>
      <c r="LJZ267" s="651"/>
      <c r="LKA267" s="691"/>
      <c r="LKB267" s="651"/>
      <c r="LKC267" s="691"/>
      <c r="LKD267" s="651"/>
      <c r="LKE267" s="691"/>
      <c r="LKF267" s="651"/>
      <c r="LKG267" s="691"/>
      <c r="LKH267" s="651"/>
      <c r="LKI267" s="691"/>
      <c r="LKJ267" s="651"/>
      <c r="LKK267" s="691"/>
      <c r="LKL267" s="651"/>
      <c r="LKM267" s="691"/>
      <c r="LKN267" s="651"/>
      <c r="LKO267" s="691"/>
      <c r="LKP267" s="651"/>
      <c r="LKQ267" s="691"/>
      <c r="LKR267" s="651"/>
      <c r="LKS267" s="691"/>
      <c r="LKT267" s="651"/>
      <c r="LKU267" s="691"/>
      <c r="LKV267" s="651"/>
      <c r="LKW267" s="691"/>
      <c r="LKX267" s="651"/>
      <c r="LKY267" s="691"/>
      <c r="LKZ267" s="651"/>
      <c r="LLA267" s="691"/>
      <c r="LLB267" s="651"/>
      <c r="LLC267" s="691"/>
      <c r="LLD267" s="651"/>
      <c r="LLE267" s="691"/>
      <c r="LLF267" s="651"/>
      <c r="LLG267" s="691"/>
      <c r="LLH267" s="651"/>
      <c r="LLI267" s="691"/>
      <c r="LLJ267" s="651"/>
      <c r="LLK267" s="691"/>
      <c r="LLL267" s="651"/>
      <c r="LLM267" s="691"/>
      <c r="LLN267" s="651"/>
      <c r="LLO267" s="691"/>
      <c r="LLP267" s="651"/>
      <c r="LLQ267" s="691"/>
      <c r="LLR267" s="651"/>
      <c r="LLS267" s="691"/>
      <c r="LLT267" s="651"/>
      <c r="LLU267" s="691"/>
      <c r="LLV267" s="651"/>
      <c r="LLW267" s="691"/>
      <c r="LLX267" s="651"/>
      <c r="LLY267" s="691"/>
      <c r="LLZ267" s="651"/>
      <c r="LMA267" s="691"/>
      <c r="LMB267" s="651"/>
      <c r="LMC267" s="691"/>
      <c r="LMD267" s="651"/>
      <c r="LME267" s="691"/>
      <c r="LMF267" s="651"/>
      <c r="LMG267" s="691"/>
      <c r="LMH267" s="651"/>
      <c r="LMI267" s="691"/>
      <c r="LMJ267" s="651"/>
      <c r="LMK267" s="691"/>
      <c r="LML267" s="651"/>
      <c r="LMM267" s="691"/>
      <c r="LMN267" s="651"/>
      <c r="LMO267" s="691"/>
      <c r="LMP267" s="651"/>
      <c r="LMQ267" s="691"/>
      <c r="LMR267" s="651"/>
      <c r="LMS267" s="691"/>
      <c r="LMT267" s="651"/>
      <c r="LMU267" s="691"/>
      <c r="LMV267" s="651"/>
      <c r="LMW267" s="691"/>
      <c r="LMX267" s="651"/>
      <c r="LMY267" s="691"/>
      <c r="LMZ267" s="651"/>
      <c r="LNA267" s="691"/>
      <c r="LNB267" s="651"/>
      <c r="LNC267" s="691"/>
      <c r="LND267" s="651"/>
      <c r="LNE267" s="691"/>
      <c r="LNF267" s="651"/>
      <c r="LNG267" s="691"/>
      <c r="LNH267" s="651"/>
      <c r="LNI267" s="691"/>
      <c r="LNJ267" s="651"/>
      <c r="LNK267" s="691"/>
      <c r="LNL267" s="651"/>
      <c r="LNM267" s="691"/>
      <c r="LNN267" s="651"/>
      <c r="LNO267" s="691"/>
      <c r="LNP267" s="651"/>
      <c r="LNQ267" s="691"/>
      <c r="LNR267" s="651"/>
      <c r="LNS267" s="691"/>
      <c r="LNT267" s="651"/>
      <c r="LNU267" s="691"/>
      <c r="LNV267" s="651"/>
      <c r="LNW267" s="691"/>
      <c r="LNX267" s="651"/>
      <c r="LNY267" s="691"/>
      <c r="LNZ267" s="651"/>
      <c r="LOA267" s="691"/>
      <c r="LOB267" s="651"/>
      <c r="LOC267" s="691"/>
      <c r="LOD267" s="651"/>
      <c r="LOE267" s="691"/>
      <c r="LOF267" s="651"/>
      <c r="LOG267" s="691"/>
      <c r="LOH267" s="651"/>
      <c r="LOI267" s="691"/>
      <c r="LOJ267" s="651"/>
      <c r="LOK267" s="691"/>
      <c r="LOL267" s="651"/>
      <c r="LOM267" s="691"/>
      <c r="LON267" s="651"/>
      <c r="LOO267" s="691"/>
      <c r="LOP267" s="651"/>
      <c r="LOQ267" s="691"/>
      <c r="LOR267" s="651"/>
      <c r="LOS267" s="691"/>
      <c r="LOT267" s="651"/>
      <c r="LOU267" s="691"/>
      <c r="LOV267" s="651"/>
      <c r="LOW267" s="691"/>
      <c r="LOX267" s="651"/>
      <c r="LOY267" s="691"/>
      <c r="LOZ267" s="651"/>
      <c r="LPA267" s="691"/>
      <c r="LPB267" s="651"/>
      <c r="LPC267" s="691"/>
      <c r="LPD267" s="651"/>
      <c r="LPE267" s="691"/>
      <c r="LPF267" s="651"/>
      <c r="LPG267" s="691"/>
      <c r="LPH267" s="651"/>
      <c r="LPI267" s="691"/>
      <c r="LPJ267" s="651"/>
      <c r="LPK267" s="691"/>
      <c r="LPL267" s="651"/>
      <c r="LPM267" s="691"/>
      <c r="LPN267" s="651"/>
      <c r="LPO267" s="691"/>
      <c r="LPP267" s="651"/>
      <c r="LPQ267" s="691"/>
      <c r="LPR267" s="651"/>
      <c r="LPS267" s="691"/>
      <c r="LPT267" s="651"/>
      <c r="LPU267" s="691"/>
      <c r="LPV267" s="651"/>
      <c r="LPW267" s="691"/>
      <c r="LPX267" s="651"/>
      <c r="LPY267" s="691"/>
      <c r="LPZ267" s="651"/>
      <c r="LQA267" s="691"/>
      <c r="LQB267" s="651"/>
      <c r="LQC267" s="691"/>
      <c r="LQD267" s="651"/>
      <c r="LQE267" s="691"/>
      <c r="LQF267" s="651"/>
      <c r="LQG267" s="691"/>
      <c r="LQH267" s="651"/>
      <c r="LQI267" s="691"/>
      <c r="LQJ267" s="651"/>
      <c r="LQK267" s="691"/>
      <c r="LQL267" s="651"/>
      <c r="LQM267" s="691"/>
      <c r="LQN267" s="651"/>
      <c r="LQO267" s="691"/>
      <c r="LQP267" s="651"/>
      <c r="LQQ267" s="691"/>
      <c r="LQR267" s="651"/>
      <c r="LQS267" s="691"/>
      <c r="LQT267" s="651"/>
      <c r="LQU267" s="691"/>
      <c r="LQV267" s="651"/>
      <c r="LQW267" s="691"/>
      <c r="LQX267" s="651"/>
      <c r="LQY267" s="691"/>
      <c r="LQZ267" s="651"/>
      <c r="LRA267" s="691"/>
      <c r="LRB267" s="651"/>
      <c r="LRC267" s="691"/>
      <c r="LRD267" s="651"/>
      <c r="LRE267" s="691"/>
      <c r="LRF267" s="651"/>
      <c r="LRG267" s="691"/>
      <c r="LRH267" s="651"/>
      <c r="LRI267" s="691"/>
      <c r="LRJ267" s="651"/>
      <c r="LRK267" s="691"/>
      <c r="LRL267" s="651"/>
      <c r="LRM267" s="691"/>
      <c r="LRN267" s="651"/>
      <c r="LRO267" s="691"/>
      <c r="LRP267" s="651"/>
      <c r="LRQ267" s="691"/>
      <c r="LRR267" s="651"/>
      <c r="LRS267" s="691"/>
      <c r="LRT267" s="651"/>
      <c r="LRU267" s="691"/>
      <c r="LRV267" s="651"/>
      <c r="LRW267" s="691"/>
      <c r="LRX267" s="651"/>
      <c r="LRY267" s="691"/>
      <c r="LRZ267" s="651"/>
      <c r="LSA267" s="691"/>
      <c r="LSB267" s="651"/>
      <c r="LSC267" s="691"/>
      <c r="LSD267" s="651"/>
      <c r="LSE267" s="691"/>
      <c r="LSF267" s="651"/>
      <c r="LSG267" s="691"/>
      <c r="LSH267" s="651"/>
      <c r="LSI267" s="691"/>
      <c r="LSJ267" s="651"/>
      <c r="LSK267" s="691"/>
      <c r="LSL267" s="651"/>
      <c r="LSM267" s="691"/>
      <c r="LSN267" s="651"/>
      <c r="LSO267" s="691"/>
      <c r="LSP267" s="651"/>
      <c r="LSQ267" s="691"/>
      <c r="LSR267" s="651"/>
      <c r="LSS267" s="691"/>
      <c r="LST267" s="651"/>
      <c r="LSU267" s="691"/>
      <c r="LSV267" s="651"/>
      <c r="LSW267" s="691"/>
      <c r="LSX267" s="651"/>
      <c r="LSY267" s="691"/>
      <c r="LSZ267" s="651"/>
      <c r="LTA267" s="691"/>
      <c r="LTB267" s="651"/>
      <c r="LTC267" s="691"/>
      <c r="LTD267" s="651"/>
      <c r="LTE267" s="691"/>
      <c r="LTF267" s="651"/>
      <c r="LTG267" s="691"/>
      <c r="LTH267" s="651"/>
      <c r="LTI267" s="691"/>
      <c r="LTJ267" s="651"/>
      <c r="LTK267" s="691"/>
      <c r="LTL267" s="651"/>
      <c r="LTM267" s="691"/>
      <c r="LTN267" s="651"/>
      <c r="LTO267" s="691"/>
      <c r="LTP267" s="651"/>
      <c r="LTQ267" s="691"/>
      <c r="LTR267" s="651"/>
      <c r="LTS267" s="691"/>
      <c r="LTT267" s="651"/>
      <c r="LTU267" s="691"/>
      <c r="LTV267" s="651"/>
      <c r="LTW267" s="691"/>
      <c r="LTX267" s="651"/>
      <c r="LTY267" s="691"/>
      <c r="LTZ267" s="651"/>
      <c r="LUA267" s="691"/>
      <c r="LUB267" s="651"/>
      <c r="LUC267" s="691"/>
      <c r="LUD267" s="651"/>
      <c r="LUE267" s="691"/>
      <c r="LUF267" s="651"/>
      <c r="LUG267" s="691"/>
      <c r="LUH267" s="651"/>
      <c r="LUI267" s="691"/>
      <c r="LUJ267" s="651"/>
      <c r="LUK267" s="691"/>
      <c r="LUL267" s="651"/>
      <c r="LUM267" s="691"/>
      <c r="LUN267" s="651"/>
      <c r="LUO267" s="691"/>
      <c r="LUP267" s="651"/>
      <c r="LUQ267" s="691"/>
      <c r="LUR267" s="651"/>
      <c r="LUS267" s="691"/>
      <c r="LUT267" s="651"/>
      <c r="LUU267" s="691"/>
      <c r="LUV267" s="651"/>
      <c r="LUW267" s="691"/>
      <c r="LUX267" s="651"/>
      <c r="LUY267" s="691"/>
      <c r="LUZ267" s="651"/>
      <c r="LVA267" s="691"/>
      <c r="LVB267" s="651"/>
      <c r="LVC267" s="691"/>
      <c r="LVD267" s="651"/>
      <c r="LVE267" s="691"/>
      <c r="LVF267" s="651"/>
      <c r="LVG267" s="691"/>
      <c r="LVH267" s="651"/>
      <c r="LVI267" s="691"/>
      <c r="LVJ267" s="651"/>
      <c r="LVK267" s="691"/>
      <c r="LVL267" s="651"/>
      <c r="LVM267" s="691"/>
      <c r="LVN267" s="651"/>
      <c r="LVO267" s="691"/>
      <c r="LVP267" s="651"/>
      <c r="LVQ267" s="691"/>
      <c r="LVR267" s="651"/>
      <c r="LVS267" s="691"/>
      <c r="LVT267" s="651"/>
      <c r="LVU267" s="691"/>
      <c r="LVV267" s="651"/>
      <c r="LVW267" s="691"/>
      <c r="LVX267" s="651"/>
      <c r="LVY267" s="691"/>
      <c r="LVZ267" s="651"/>
      <c r="LWA267" s="691"/>
      <c r="LWB267" s="651"/>
      <c r="LWC267" s="691"/>
      <c r="LWD267" s="651"/>
      <c r="LWE267" s="691"/>
      <c r="LWF267" s="651"/>
      <c r="LWG267" s="691"/>
      <c r="LWH267" s="651"/>
      <c r="LWI267" s="691"/>
      <c r="LWJ267" s="651"/>
      <c r="LWK267" s="691"/>
      <c r="LWL267" s="651"/>
      <c r="LWM267" s="691"/>
      <c r="LWN267" s="651"/>
      <c r="LWO267" s="691"/>
      <c r="LWP267" s="651"/>
      <c r="LWQ267" s="691"/>
      <c r="LWR267" s="651"/>
      <c r="LWS267" s="691"/>
      <c r="LWT267" s="651"/>
      <c r="LWU267" s="691"/>
      <c r="LWV267" s="651"/>
      <c r="LWW267" s="691"/>
      <c r="LWX267" s="651"/>
      <c r="LWY267" s="691"/>
      <c r="LWZ267" s="651"/>
      <c r="LXA267" s="691"/>
      <c r="LXB267" s="651"/>
      <c r="LXC267" s="691"/>
      <c r="LXD267" s="651"/>
      <c r="LXE267" s="691"/>
      <c r="LXF267" s="651"/>
      <c r="LXG267" s="691"/>
      <c r="LXH267" s="651"/>
      <c r="LXI267" s="691"/>
      <c r="LXJ267" s="651"/>
      <c r="LXK267" s="691"/>
      <c r="LXL267" s="651"/>
      <c r="LXM267" s="691"/>
      <c r="LXN267" s="651"/>
      <c r="LXO267" s="691"/>
      <c r="LXP267" s="651"/>
      <c r="LXQ267" s="691"/>
      <c r="LXR267" s="651"/>
      <c r="LXS267" s="691"/>
      <c r="LXT267" s="651"/>
      <c r="LXU267" s="691"/>
      <c r="LXV267" s="651"/>
      <c r="LXW267" s="691"/>
      <c r="LXX267" s="651"/>
      <c r="LXY267" s="691"/>
      <c r="LXZ267" s="651"/>
      <c r="LYA267" s="691"/>
      <c r="LYB267" s="651"/>
      <c r="LYC267" s="691"/>
      <c r="LYD267" s="651"/>
      <c r="LYE267" s="691"/>
      <c r="LYF267" s="651"/>
      <c r="LYG267" s="691"/>
      <c r="LYH267" s="651"/>
      <c r="LYI267" s="691"/>
      <c r="LYJ267" s="651"/>
      <c r="LYK267" s="691"/>
      <c r="LYL267" s="651"/>
      <c r="LYM267" s="691"/>
      <c r="LYN267" s="651"/>
      <c r="LYO267" s="691"/>
      <c r="LYP267" s="651"/>
      <c r="LYQ267" s="691"/>
      <c r="LYR267" s="651"/>
      <c r="LYS267" s="691"/>
      <c r="LYT267" s="651"/>
      <c r="LYU267" s="691"/>
      <c r="LYV267" s="651"/>
      <c r="LYW267" s="691"/>
      <c r="LYX267" s="651"/>
      <c r="LYY267" s="691"/>
      <c r="LYZ267" s="651"/>
      <c r="LZA267" s="691"/>
      <c r="LZB267" s="651"/>
      <c r="LZC267" s="691"/>
      <c r="LZD267" s="651"/>
      <c r="LZE267" s="691"/>
      <c r="LZF267" s="651"/>
      <c r="LZG267" s="691"/>
      <c r="LZH267" s="651"/>
      <c r="LZI267" s="691"/>
      <c r="LZJ267" s="651"/>
      <c r="LZK267" s="691"/>
      <c r="LZL267" s="651"/>
      <c r="LZM267" s="691"/>
      <c r="LZN267" s="651"/>
      <c r="LZO267" s="691"/>
      <c r="LZP267" s="651"/>
      <c r="LZQ267" s="691"/>
      <c r="LZR267" s="651"/>
      <c r="LZS267" s="691"/>
      <c r="LZT267" s="651"/>
      <c r="LZU267" s="691"/>
      <c r="LZV267" s="651"/>
      <c r="LZW267" s="691"/>
      <c r="LZX267" s="651"/>
      <c r="LZY267" s="691"/>
      <c r="LZZ267" s="651"/>
      <c r="MAA267" s="691"/>
      <c r="MAB267" s="651"/>
      <c r="MAC267" s="691"/>
      <c r="MAD267" s="651"/>
      <c r="MAE267" s="691"/>
      <c r="MAF267" s="651"/>
      <c r="MAG267" s="691"/>
      <c r="MAH267" s="651"/>
      <c r="MAI267" s="691"/>
      <c r="MAJ267" s="651"/>
      <c r="MAK267" s="691"/>
      <c r="MAL267" s="651"/>
      <c r="MAM267" s="691"/>
      <c r="MAN267" s="651"/>
      <c r="MAO267" s="691"/>
      <c r="MAP267" s="651"/>
      <c r="MAQ267" s="691"/>
      <c r="MAR267" s="651"/>
      <c r="MAS267" s="691"/>
      <c r="MAT267" s="651"/>
      <c r="MAU267" s="691"/>
      <c r="MAV267" s="651"/>
      <c r="MAW267" s="691"/>
      <c r="MAX267" s="651"/>
      <c r="MAY267" s="691"/>
      <c r="MAZ267" s="651"/>
      <c r="MBA267" s="691"/>
      <c r="MBB267" s="651"/>
      <c r="MBC267" s="691"/>
      <c r="MBD267" s="651"/>
      <c r="MBE267" s="691"/>
      <c r="MBF267" s="651"/>
      <c r="MBG267" s="691"/>
      <c r="MBH267" s="651"/>
      <c r="MBI267" s="691"/>
      <c r="MBJ267" s="651"/>
      <c r="MBK267" s="691"/>
      <c r="MBL267" s="651"/>
      <c r="MBM267" s="691"/>
      <c r="MBN267" s="651"/>
      <c r="MBO267" s="691"/>
      <c r="MBP267" s="651"/>
      <c r="MBQ267" s="691"/>
      <c r="MBR267" s="651"/>
      <c r="MBS267" s="691"/>
      <c r="MBT267" s="651"/>
      <c r="MBU267" s="691"/>
      <c r="MBV267" s="651"/>
      <c r="MBW267" s="691"/>
      <c r="MBX267" s="651"/>
      <c r="MBY267" s="691"/>
      <c r="MBZ267" s="651"/>
      <c r="MCA267" s="691"/>
      <c r="MCB267" s="651"/>
      <c r="MCC267" s="691"/>
      <c r="MCD267" s="651"/>
      <c r="MCE267" s="691"/>
      <c r="MCF267" s="651"/>
      <c r="MCG267" s="691"/>
      <c r="MCH267" s="651"/>
      <c r="MCI267" s="691"/>
      <c r="MCJ267" s="651"/>
      <c r="MCK267" s="691"/>
      <c r="MCL267" s="651"/>
      <c r="MCM267" s="691"/>
      <c r="MCN267" s="651"/>
      <c r="MCO267" s="691"/>
      <c r="MCP267" s="651"/>
      <c r="MCQ267" s="691"/>
      <c r="MCR267" s="651"/>
      <c r="MCS267" s="691"/>
      <c r="MCT267" s="651"/>
      <c r="MCU267" s="691"/>
      <c r="MCV267" s="651"/>
      <c r="MCW267" s="691"/>
      <c r="MCX267" s="651"/>
      <c r="MCY267" s="691"/>
      <c r="MCZ267" s="651"/>
      <c r="MDA267" s="691"/>
      <c r="MDB267" s="651"/>
      <c r="MDC267" s="691"/>
      <c r="MDD267" s="651"/>
      <c r="MDE267" s="691"/>
      <c r="MDF267" s="651"/>
      <c r="MDG267" s="691"/>
      <c r="MDH267" s="651"/>
      <c r="MDI267" s="691"/>
      <c r="MDJ267" s="651"/>
      <c r="MDK267" s="691"/>
      <c r="MDL267" s="651"/>
      <c r="MDM267" s="691"/>
      <c r="MDN267" s="651"/>
      <c r="MDO267" s="691"/>
      <c r="MDP267" s="651"/>
      <c r="MDQ267" s="691"/>
      <c r="MDR267" s="651"/>
      <c r="MDS267" s="691"/>
      <c r="MDT267" s="651"/>
      <c r="MDU267" s="691"/>
      <c r="MDV267" s="651"/>
      <c r="MDW267" s="691"/>
      <c r="MDX267" s="651"/>
      <c r="MDY267" s="691"/>
      <c r="MDZ267" s="651"/>
      <c r="MEA267" s="691"/>
      <c r="MEB267" s="651"/>
      <c r="MEC267" s="691"/>
      <c r="MED267" s="651"/>
      <c r="MEE267" s="691"/>
      <c r="MEF267" s="651"/>
      <c r="MEG267" s="691"/>
      <c r="MEH267" s="651"/>
      <c r="MEI267" s="691"/>
      <c r="MEJ267" s="651"/>
      <c r="MEK267" s="691"/>
      <c r="MEL267" s="651"/>
      <c r="MEM267" s="691"/>
      <c r="MEN267" s="651"/>
      <c r="MEO267" s="691"/>
      <c r="MEP267" s="651"/>
      <c r="MEQ267" s="691"/>
      <c r="MER267" s="651"/>
      <c r="MES267" s="691"/>
      <c r="MET267" s="651"/>
      <c r="MEU267" s="691"/>
      <c r="MEV267" s="651"/>
      <c r="MEW267" s="691"/>
      <c r="MEX267" s="651"/>
      <c r="MEY267" s="691"/>
      <c r="MEZ267" s="651"/>
      <c r="MFA267" s="691"/>
      <c r="MFB267" s="651"/>
      <c r="MFC267" s="691"/>
      <c r="MFD267" s="651"/>
      <c r="MFE267" s="691"/>
      <c r="MFF267" s="651"/>
      <c r="MFG267" s="691"/>
      <c r="MFH267" s="651"/>
      <c r="MFI267" s="691"/>
      <c r="MFJ267" s="651"/>
      <c r="MFK267" s="691"/>
      <c r="MFL267" s="651"/>
      <c r="MFM267" s="691"/>
      <c r="MFN267" s="651"/>
      <c r="MFO267" s="691"/>
      <c r="MFP267" s="651"/>
      <c r="MFQ267" s="691"/>
      <c r="MFR267" s="651"/>
      <c r="MFS267" s="691"/>
      <c r="MFT267" s="651"/>
      <c r="MFU267" s="691"/>
      <c r="MFV267" s="651"/>
      <c r="MFW267" s="691"/>
      <c r="MFX267" s="651"/>
      <c r="MFY267" s="691"/>
      <c r="MFZ267" s="651"/>
      <c r="MGA267" s="691"/>
      <c r="MGB267" s="651"/>
      <c r="MGC267" s="691"/>
      <c r="MGD267" s="651"/>
      <c r="MGE267" s="691"/>
      <c r="MGF267" s="651"/>
      <c r="MGG267" s="691"/>
      <c r="MGH267" s="651"/>
      <c r="MGI267" s="691"/>
      <c r="MGJ267" s="651"/>
      <c r="MGK267" s="691"/>
      <c r="MGL267" s="651"/>
      <c r="MGM267" s="691"/>
      <c r="MGN267" s="651"/>
      <c r="MGO267" s="691"/>
      <c r="MGP267" s="651"/>
      <c r="MGQ267" s="691"/>
      <c r="MGR267" s="651"/>
      <c r="MGS267" s="691"/>
      <c r="MGT267" s="651"/>
      <c r="MGU267" s="691"/>
      <c r="MGV267" s="651"/>
      <c r="MGW267" s="691"/>
      <c r="MGX267" s="651"/>
      <c r="MGY267" s="691"/>
      <c r="MGZ267" s="651"/>
      <c r="MHA267" s="691"/>
      <c r="MHB267" s="651"/>
      <c r="MHC267" s="691"/>
      <c r="MHD267" s="651"/>
      <c r="MHE267" s="691"/>
      <c r="MHF267" s="651"/>
      <c r="MHG267" s="691"/>
      <c r="MHH267" s="651"/>
      <c r="MHI267" s="691"/>
      <c r="MHJ267" s="651"/>
      <c r="MHK267" s="691"/>
      <c r="MHL267" s="651"/>
      <c r="MHM267" s="691"/>
      <c r="MHN267" s="651"/>
      <c r="MHO267" s="691"/>
      <c r="MHP267" s="651"/>
      <c r="MHQ267" s="691"/>
      <c r="MHR267" s="651"/>
      <c r="MHS267" s="691"/>
      <c r="MHT267" s="651"/>
      <c r="MHU267" s="691"/>
      <c r="MHV267" s="651"/>
      <c r="MHW267" s="691"/>
      <c r="MHX267" s="651"/>
      <c r="MHY267" s="691"/>
      <c r="MHZ267" s="651"/>
      <c r="MIA267" s="691"/>
      <c r="MIB267" s="651"/>
      <c r="MIC267" s="691"/>
      <c r="MID267" s="651"/>
      <c r="MIE267" s="691"/>
      <c r="MIF267" s="651"/>
      <c r="MIG267" s="691"/>
      <c r="MIH267" s="651"/>
      <c r="MII267" s="691"/>
      <c r="MIJ267" s="651"/>
      <c r="MIK267" s="691"/>
      <c r="MIL267" s="651"/>
      <c r="MIM267" s="691"/>
      <c r="MIN267" s="651"/>
      <c r="MIO267" s="691"/>
      <c r="MIP267" s="651"/>
      <c r="MIQ267" s="691"/>
      <c r="MIR267" s="651"/>
      <c r="MIS267" s="691"/>
      <c r="MIT267" s="651"/>
      <c r="MIU267" s="691"/>
      <c r="MIV267" s="651"/>
      <c r="MIW267" s="691"/>
      <c r="MIX267" s="651"/>
      <c r="MIY267" s="691"/>
      <c r="MIZ267" s="651"/>
      <c r="MJA267" s="691"/>
      <c r="MJB267" s="651"/>
      <c r="MJC267" s="691"/>
      <c r="MJD267" s="651"/>
      <c r="MJE267" s="691"/>
      <c r="MJF267" s="651"/>
      <c r="MJG267" s="691"/>
      <c r="MJH267" s="651"/>
      <c r="MJI267" s="691"/>
      <c r="MJJ267" s="651"/>
      <c r="MJK267" s="691"/>
      <c r="MJL267" s="651"/>
      <c r="MJM267" s="691"/>
      <c r="MJN267" s="651"/>
      <c r="MJO267" s="691"/>
      <c r="MJP267" s="651"/>
      <c r="MJQ267" s="691"/>
      <c r="MJR267" s="651"/>
      <c r="MJS267" s="691"/>
      <c r="MJT267" s="651"/>
      <c r="MJU267" s="691"/>
      <c r="MJV267" s="651"/>
      <c r="MJW267" s="691"/>
      <c r="MJX267" s="651"/>
      <c r="MJY267" s="691"/>
      <c r="MJZ267" s="651"/>
      <c r="MKA267" s="691"/>
      <c r="MKB267" s="651"/>
      <c r="MKC267" s="691"/>
      <c r="MKD267" s="651"/>
      <c r="MKE267" s="691"/>
      <c r="MKF267" s="651"/>
      <c r="MKG267" s="691"/>
      <c r="MKH267" s="651"/>
      <c r="MKI267" s="691"/>
      <c r="MKJ267" s="651"/>
      <c r="MKK267" s="691"/>
      <c r="MKL267" s="651"/>
      <c r="MKM267" s="691"/>
      <c r="MKN267" s="651"/>
      <c r="MKO267" s="691"/>
      <c r="MKP267" s="651"/>
      <c r="MKQ267" s="691"/>
      <c r="MKR267" s="651"/>
      <c r="MKS267" s="691"/>
      <c r="MKT267" s="651"/>
      <c r="MKU267" s="691"/>
      <c r="MKV267" s="651"/>
      <c r="MKW267" s="691"/>
      <c r="MKX267" s="651"/>
      <c r="MKY267" s="691"/>
      <c r="MKZ267" s="651"/>
      <c r="MLA267" s="691"/>
      <c r="MLB267" s="651"/>
      <c r="MLC267" s="691"/>
      <c r="MLD267" s="651"/>
      <c r="MLE267" s="691"/>
      <c r="MLF267" s="651"/>
      <c r="MLG267" s="691"/>
      <c r="MLH267" s="651"/>
      <c r="MLI267" s="691"/>
      <c r="MLJ267" s="651"/>
      <c r="MLK267" s="691"/>
      <c r="MLL267" s="651"/>
      <c r="MLM267" s="691"/>
      <c r="MLN267" s="651"/>
      <c r="MLO267" s="691"/>
      <c r="MLP267" s="651"/>
      <c r="MLQ267" s="691"/>
      <c r="MLR267" s="651"/>
      <c r="MLS267" s="691"/>
      <c r="MLT267" s="651"/>
      <c r="MLU267" s="691"/>
      <c r="MLV267" s="651"/>
      <c r="MLW267" s="691"/>
      <c r="MLX267" s="651"/>
      <c r="MLY267" s="691"/>
      <c r="MLZ267" s="651"/>
      <c r="MMA267" s="691"/>
      <c r="MMB267" s="651"/>
      <c r="MMC267" s="691"/>
      <c r="MMD267" s="651"/>
      <c r="MME267" s="691"/>
      <c r="MMF267" s="651"/>
      <c r="MMG267" s="691"/>
      <c r="MMH267" s="651"/>
      <c r="MMI267" s="691"/>
      <c r="MMJ267" s="651"/>
      <c r="MMK267" s="691"/>
      <c r="MML267" s="651"/>
      <c r="MMM267" s="691"/>
      <c r="MMN267" s="651"/>
      <c r="MMO267" s="691"/>
      <c r="MMP267" s="651"/>
      <c r="MMQ267" s="691"/>
      <c r="MMR267" s="651"/>
      <c r="MMS267" s="691"/>
      <c r="MMT267" s="651"/>
      <c r="MMU267" s="691"/>
      <c r="MMV267" s="651"/>
      <c r="MMW267" s="691"/>
      <c r="MMX267" s="651"/>
      <c r="MMY267" s="691"/>
      <c r="MMZ267" s="651"/>
      <c r="MNA267" s="691"/>
      <c r="MNB267" s="651"/>
      <c r="MNC267" s="691"/>
      <c r="MND267" s="651"/>
      <c r="MNE267" s="691"/>
      <c r="MNF267" s="651"/>
      <c r="MNG267" s="691"/>
      <c r="MNH267" s="651"/>
      <c r="MNI267" s="691"/>
      <c r="MNJ267" s="651"/>
      <c r="MNK267" s="691"/>
      <c r="MNL267" s="651"/>
      <c r="MNM267" s="691"/>
      <c r="MNN267" s="651"/>
      <c r="MNO267" s="691"/>
      <c r="MNP267" s="651"/>
      <c r="MNQ267" s="691"/>
      <c r="MNR267" s="651"/>
      <c r="MNS267" s="691"/>
      <c r="MNT267" s="651"/>
      <c r="MNU267" s="691"/>
      <c r="MNV267" s="651"/>
      <c r="MNW267" s="691"/>
      <c r="MNX267" s="651"/>
      <c r="MNY267" s="691"/>
      <c r="MNZ267" s="651"/>
      <c r="MOA267" s="691"/>
      <c r="MOB267" s="651"/>
      <c r="MOC267" s="691"/>
      <c r="MOD267" s="651"/>
      <c r="MOE267" s="691"/>
      <c r="MOF267" s="651"/>
      <c r="MOG267" s="691"/>
      <c r="MOH267" s="651"/>
      <c r="MOI267" s="691"/>
      <c r="MOJ267" s="651"/>
      <c r="MOK267" s="691"/>
      <c r="MOL267" s="651"/>
      <c r="MOM267" s="691"/>
      <c r="MON267" s="651"/>
      <c r="MOO267" s="691"/>
      <c r="MOP267" s="651"/>
      <c r="MOQ267" s="691"/>
      <c r="MOR267" s="651"/>
      <c r="MOS267" s="691"/>
      <c r="MOT267" s="651"/>
      <c r="MOU267" s="691"/>
      <c r="MOV267" s="651"/>
      <c r="MOW267" s="691"/>
      <c r="MOX267" s="651"/>
      <c r="MOY267" s="691"/>
      <c r="MOZ267" s="651"/>
      <c r="MPA267" s="691"/>
      <c r="MPB267" s="651"/>
      <c r="MPC267" s="691"/>
      <c r="MPD267" s="651"/>
      <c r="MPE267" s="691"/>
      <c r="MPF267" s="651"/>
      <c r="MPG267" s="691"/>
      <c r="MPH267" s="651"/>
      <c r="MPI267" s="691"/>
      <c r="MPJ267" s="651"/>
      <c r="MPK267" s="691"/>
      <c r="MPL267" s="651"/>
      <c r="MPM267" s="691"/>
      <c r="MPN267" s="651"/>
      <c r="MPO267" s="691"/>
      <c r="MPP267" s="651"/>
      <c r="MPQ267" s="691"/>
      <c r="MPR267" s="651"/>
      <c r="MPS267" s="691"/>
      <c r="MPT267" s="651"/>
      <c r="MPU267" s="691"/>
      <c r="MPV267" s="651"/>
      <c r="MPW267" s="691"/>
      <c r="MPX267" s="651"/>
      <c r="MPY267" s="691"/>
      <c r="MPZ267" s="651"/>
      <c r="MQA267" s="691"/>
      <c r="MQB267" s="651"/>
      <c r="MQC267" s="691"/>
      <c r="MQD267" s="651"/>
      <c r="MQE267" s="691"/>
      <c r="MQF267" s="651"/>
      <c r="MQG267" s="691"/>
      <c r="MQH267" s="651"/>
      <c r="MQI267" s="691"/>
      <c r="MQJ267" s="651"/>
      <c r="MQK267" s="691"/>
      <c r="MQL267" s="651"/>
      <c r="MQM267" s="691"/>
      <c r="MQN267" s="651"/>
      <c r="MQO267" s="691"/>
      <c r="MQP267" s="651"/>
      <c r="MQQ267" s="691"/>
      <c r="MQR267" s="651"/>
      <c r="MQS267" s="691"/>
      <c r="MQT267" s="651"/>
      <c r="MQU267" s="691"/>
      <c r="MQV267" s="651"/>
      <c r="MQW267" s="691"/>
      <c r="MQX267" s="651"/>
      <c r="MQY267" s="691"/>
      <c r="MQZ267" s="651"/>
      <c r="MRA267" s="691"/>
      <c r="MRB267" s="651"/>
      <c r="MRC267" s="691"/>
      <c r="MRD267" s="651"/>
      <c r="MRE267" s="691"/>
      <c r="MRF267" s="651"/>
      <c r="MRG267" s="691"/>
      <c r="MRH267" s="651"/>
      <c r="MRI267" s="691"/>
      <c r="MRJ267" s="651"/>
      <c r="MRK267" s="691"/>
      <c r="MRL267" s="651"/>
      <c r="MRM267" s="691"/>
      <c r="MRN267" s="651"/>
      <c r="MRO267" s="691"/>
      <c r="MRP267" s="651"/>
      <c r="MRQ267" s="691"/>
      <c r="MRR267" s="651"/>
      <c r="MRS267" s="691"/>
      <c r="MRT267" s="651"/>
      <c r="MRU267" s="691"/>
      <c r="MRV267" s="651"/>
      <c r="MRW267" s="691"/>
      <c r="MRX267" s="651"/>
      <c r="MRY267" s="691"/>
      <c r="MRZ267" s="651"/>
      <c r="MSA267" s="691"/>
      <c r="MSB267" s="651"/>
      <c r="MSC267" s="691"/>
      <c r="MSD267" s="651"/>
      <c r="MSE267" s="691"/>
      <c r="MSF267" s="651"/>
      <c r="MSG267" s="691"/>
      <c r="MSH267" s="651"/>
      <c r="MSI267" s="691"/>
      <c r="MSJ267" s="651"/>
      <c r="MSK267" s="691"/>
      <c r="MSL267" s="651"/>
      <c r="MSM267" s="691"/>
      <c r="MSN267" s="651"/>
      <c r="MSO267" s="691"/>
      <c r="MSP267" s="651"/>
      <c r="MSQ267" s="691"/>
      <c r="MSR267" s="651"/>
      <c r="MSS267" s="691"/>
      <c r="MST267" s="651"/>
      <c r="MSU267" s="691"/>
      <c r="MSV267" s="651"/>
      <c r="MSW267" s="691"/>
      <c r="MSX267" s="651"/>
      <c r="MSY267" s="691"/>
      <c r="MSZ267" s="651"/>
      <c r="MTA267" s="691"/>
      <c r="MTB267" s="651"/>
      <c r="MTC267" s="691"/>
      <c r="MTD267" s="651"/>
      <c r="MTE267" s="691"/>
      <c r="MTF267" s="651"/>
      <c r="MTG267" s="691"/>
      <c r="MTH267" s="651"/>
      <c r="MTI267" s="691"/>
      <c r="MTJ267" s="651"/>
      <c r="MTK267" s="691"/>
      <c r="MTL267" s="651"/>
      <c r="MTM267" s="691"/>
      <c r="MTN267" s="651"/>
      <c r="MTO267" s="691"/>
      <c r="MTP267" s="651"/>
      <c r="MTQ267" s="691"/>
      <c r="MTR267" s="651"/>
      <c r="MTS267" s="691"/>
      <c r="MTT267" s="651"/>
      <c r="MTU267" s="691"/>
      <c r="MTV267" s="651"/>
      <c r="MTW267" s="691"/>
      <c r="MTX267" s="651"/>
      <c r="MTY267" s="691"/>
      <c r="MTZ267" s="651"/>
      <c r="MUA267" s="691"/>
      <c r="MUB267" s="651"/>
      <c r="MUC267" s="691"/>
      <c r="MUD267" s="651"/>
      <c r="MUE267" s="691"/>
      <c r="MUF267" s="651"/>
      <c r="MUG267" s="691"/>
      <c r="MUH267" s="651"/>
      <c r="MUI267" s="691"/>
      <c r="MUJ267" s="651"/>
      <c r="MUK267" s="691"/>
      <c r="MUL267" s="651"/>
      <c r="MUM267" s="691"/>
      <c r="MUN267" s="651"/>
      <c r="MUO267" s="691"/>
      <c r="MUP267" s="651"/>
      <c r="MUQ267" s="691"/>
      <c r="MUR267" s="651"/>
      <c r="MUS267" s="691"/>
      <c r="MUT267" s="651"/>
      <c r="MUU267" s="691"/>
      <c r="MUV267" s="651"/>
      <c r="MUW267" s="691"/>
      <c r="MUX267" s="651"/>
      <c r="MUY267" s="691"/>
      <c r="MUZ267" s="651"/>
      <c r="MVA267" s="691"/>
      <c r="MVB267" s="651"/>
      <c r="MVC267" s="691"/>
      <c r="MVD267" s="651"/>
      <c r="MVE267" s="691"/>
      <c r="MVF267" s="651"/>
      <c r="MVG267" s="691"/>
      <c r="MVH267" s="651"/>
      <c r="MVI267" s="691"/>
      <c r="MVJ267" s="651"/>
      <c r="MVK267" s="691"/>
      <c r="MVL267" s="651"/>
      <c r="MVM267" s="691"/>
      <c r="MVN267" s="651"/>
      <c r="MVO267" s="691"/>
      <c r="MVP267" s="651"/>
      <c r="MVQ267" s="691"/>
      <c r="MVR267" s="651"/>
      <c r="MVS267" s="691"/>
      <c r="MVT267" s="651"/>
      <c r="MVU267" s="691"/>
      <c r="MVV267" s="651"/>
      <c r="MVW267" s="691"/>
      <c r="MVX267" s="651"/>
      <c r="MVY267" s="691"/>
      <c r="MVZ267" s="651"/>
      <c r="MWA267" s="691"/>
      <c r="MWB267" s="651"/>
      <c r="MWC267" s="691"/>
      <c r="MWD267" s="651"/>
      <c r="MWE267" s="691"/>
      <c r="MWF267" s="651"/>
      <c r="MWG267" s="691"/>
      <c r="MWH267" s="651"/>
      <c r="MWI267" s="691"/>
      <c r="MWJ267" s="651"/>
      <c r="MWK267" s="691"/>
      <c r="MWL267" s="651"/>
      <c r="MWM267" s="691"/>
      <c r="MWN267" s="651"/>
      <c r="MWO267" s="691"/>
      <c r="MWP267" s="651"/>
      <c r="MWQ267" s="691"/>
      <c r="MWR267" s="651"/>
      <c r="MWS267" s="691"/>
      <c r="MWT267" s="651"/>
      <c r="MWU267" s="691"/>
      <c r="MWV267" s="651"/>
      <c r="MWW267" s="691"/>
      <c r="MWX267" s="651"/>
      <c r="MWY267" s="691"/>
      <c r="MWZ267" s="651"/>
      <c r="MXA267" s="691"/>
      <c r="MXB267" s="651"/>
      <c r="MXC267" s="691"/>
      <c r="MXD267" s="651"/>
      <c r="MXE267" s="691"/>
      <c r="MXF267" s="651"/>
      <c r="MXG267" s="691"/>
      <c r="MXH267" s="651"/>
      <c r="MXI267" s="691"/>
      <c r="MXJ267" s="651"/>
      <c r="MXK267" s="691"/>
      <c r="MXL267" s="651"/>
      <c r="MXM267" s="691"/>
      <c r="MXN267" s="651"/>
      <c r="MXO267" s="691"/>
      <c r="MXP267" s="651"/>
      <c r="MXQ267" s="691"/>
      <c r="MXR267" s="651"/>
      <c r="MXS267" s="691"/>
      <c r="MXT267" s="651"/>
      <c r="MXU267" s="691"/>
      <c r="MXV267" s="651"/>
      <c r="MXW267" s="691"/>
      <c r="MXX267" s="651"/>
      <c r="MXY267" s="691"/>
      <c r="MXZ267" s="651"/>
      <c r="MYA267" s="691"/>
      <c r="MYB267" s="651"/>
      <c r="MYC267" s="691"/>
      <c r="MYD267" s="651"/>
      <c r="MYE267" s="691"/>
      <c r="MYF267" s="651"/>
      <c r="MYG267" s="691"/>
      <c r="MYH267" s="651"/>
      <c r="MYI267" s="691"/>
      <c r="MYJ267" s="651"/>
      <c r="MYK267" s="691"/>
      <c r="MYL267" s="651"/>
      <c r="MYM267" s="691"/>
      <c r="MYN267" s="651"/>
      <c r="MYO267" s="691"/>
      <c r="MYP267" s="651"/>
      <c r="MYQ267" s="691"/>
      <c r="MYR267" s="651"/>
      <c r="MYS267" s="691"/>
      <c r="MYT267" s="651"/>
      <c r="MYU267" s="691"/>
      <c r="MYV267" s="651"/>
      <c r="MYW267" s="691"/>
      <c r="MYX267" s="651"/>
      <c r="MYY267" s="691"/>
      <c r="MYZ267" s="651"/>
      <c r="MZA267" s="691"/>
      <c r="MZB267" s="651"/>
      <c r="MZC267" s="691"/>
      <c r="MZD267" s="651"/>
      <c r="MZE267" s="691"/>
      <c r="MZF267" s="651"/>
      <c r="MZG267" s="691"/>
      <c r="MZH267" s="651"/>
      <c r="MZI267" s="691"/>
      <c r="MZJ267" s="651"/>
      <c r="MZK267" s="691"/>
      <c r="MZL267" s="651"/>
      <c r="MZM267" s="691"/>
      <c r="MZN267" s="651"/>
      <c r="MZO267" s="691"/>
      <c r="MZP267" s="651"/>
      <c r="MZQ267" s="691"/>
      <c r="MZR267" s="651"/>
      <c r="MZS267" s="691"/>
      <c r="MZT267" s="651"/>
      <c r="MZU267" s="691"/>
      <c r="MZV267" s="651"/>
      <c r="MZW267" s="691"/>
      <c r="MZX267" s="651"/>
      <c r="MZY267" s="691"/>
      <c r="MZZ267" s="651"/>
      <c r="NAA267" s="691"/>
      <c r="NAB267" s="651"/>
      <c r="NAC267" s="691"/>
      <c r="NAD267" s="651"/>
      <c r="NAE267" s="691"/>
      <c r="NAF267" s="651"/>
      <c r="NAG267" s="691"/>
      <c r="NAH267" s="651"/>
      <c r="NAI267" s="691"/>
      <c r="NAJ267" s="651"/>
      <c r="NAK267" s="691"/>
      <c r="NAL267" s="651"/>
      <c r="NAM267" s="691"/>
      <c r="NAN267" s="651"/>
      <c r="NAO267" s="691"/>
      <c r="NAP267" s="651"/>
      <c r="NAQ267" s="691"/>
      <c r="NAR267" s="651"/>
      <c r="NAS267" s="691"/>
      <c r="NAT267" s="651"/>
      <c r="NAU267" s="691"/>
      <c r="NAV267" s="651"/>
      <c r="NAW267" s="691"/>
      <c r="NAX267" s="651"/>
      <c r="NAY267" s="691"/>
      <c r="NAZ267" s="651"/>
      <c r="NBA267" s="691"/>
      <c r="NBB267" s="651"/>
      <c r="NBC267" s="691"/>
      <c r="NBD267" s="651"/>
      <c r="NBE267" s="691"/>
      <c r="NBF267" s="651"/>
      <c r="NBG267" s="691"/>
      <c r="NBH267" s="651"/>
      <c r="NBI267" s="691"/>
      <c r="NBJ267" s="651"/>
      <c r="NBK267" s="691"/>
      <c r="NBL267" s="651"/>
      <c r="NBM267" s="691"/>
      <c r="NBN267" s="651"/>
      <c r="NBO267" s="691"/>
      <c r="NBP267" s="651"/>
      <c r="NBQ267" s="691"/>
      <c r="NBR267" s="651"/>
      <c r="NBS267" s="691"/>
      <c r="NBT267" s="651"/>
      <c r="NBU267" s="691"/>
      <c r="NBV267" s="651"/>
      <c r="NBW267" s="691"/>
      <c r="NBX267" s="651"/>
      <c r="NBY267" s="691"/>
      <c r="NBZ267" s="651"/>
      <c r="NCA267" s="691"/>
      <c r="NCB267" s="651"/>
      <c r="NCC267" s="691"/>
      <c r="NCD267" s="651"/>
      <c r="NCE267" s="691"/>
      <c r="NCF267" s="651"/>
      <c r="NCG267" s="691"/>
      <c r="NCH267" s="651"/>
      <c r="NCI267" s="691"/>
      <c r="NCJ267" s="651"/>
      <c r="NCK267" s="691"/>
      <c r="NCL267" s="651"/>
      <c r="NCM267" s="691"/>
      <c r="NCN267" s="651"/>
      <c r="NCO267" s="691"/>
      <c r="NCP267" s="651"/>
      <c r="NCQ267" s="691"/>
      <c r="NCR267" s="651"/>
      <c r="NCS267" s="691"/>
      <c r="NCT267" s="651"/>
      <c r="NCU267" s="691"/>
      <c r="NCV267" s="651"/>
      <c r="NCW267" s="691"/>
      <c r="NCX267" s="651"/>
      <c r="NCY267" s="691"/>
      <c r="NCZ267" s="651"/>
      <c r="NDA267" s="691"/>
      <c r="NDB267" s="651"/>
      <c r="NDC267" s="691"/>
      <c r="NDD267" s="651"/>
      <c r="NDE267" s="691"/>
      <c r="NDF267" s="651"/>
      <c r="NDG267" s="691"/>
      <c r="NDH267" s="651"/>
      <c r="NDI267" s="691"/>
      <c r="NDJ267" s="651"/>
      <c r="NDK267" s="691"/>
      <c r="NDL267" s="651"/>
      <c r="NDM267" s="691"/>
      <c r="NDN267" s="651"/>
      <c r="NDO267" s="691"/>
      <c r="NDP267" s="651"/>
      <c r="NDQ267" s="691"/>
      <c r="NDR267" s="651"/>
      <c r="NDS267" s="691"/>
      <c r="NDT267" s="651"/>
      <c r="NDU267" s="691"/>
      <c r="NDV267" s="651"/>
      <c r="NDW267" s="691"/>
      <c r="NDX267" s="651"/>
      <c r="NDY267" s="691"/>
      <c r="NDZ267" s="651"/>
      <c r="NEA267" s="691"/>
      <c r="NEB267" s="651"/>
      <c r="NEC267" s="691"/>
      <c r="NED267" s="651"/>
      <c r="NEE267" s="691"/>
      <c r="NEF267" s="651"/>
      <c r="NEG267" s="691"/>
      <c r="NEH267" s="651"/>
      <c r="NEI267" s="691"/>
      <c r="NEJ267" s="651"/>
      <c r="NEK267" s="691"/>
      <c r="NEL267" s="651"/>
      <c r="NEM267" s="691"/>
      <c r="NEN267" s="651"/>
      <c r="NEO267" s="691"/>
      <c r="NEP267" s="651"/>
      <c r="NEQ267" s="691"/>
      <c r="NER267" s="651"/>
      <c r="NES267" s="691"/>
      <c r="NET267" s="651"/>
      <c r="NEU267" s="691"/>
      <c r="NEV267" s="651"/>
      <c r="NEW267" s="691"/>
      <c r="NEX267" s="651"/>
      <c r="NEY267" s="691"/>
      <c r="NEZ267" s="651"/>
      <c r="NFA267" s="691"/>
      <c r="NFB267" s="651"/>
      <c r="NFC267" s="691"/>
      <c r="NFD267" s="651"/>
      <c r="NFE267" s="691"/>
      <c r="NFF267" s="651"/>
      <c r="NFG267" s="691"/>
      <c r="NFH267" s="651"/>
      <c r="NFI267" s="691"/>
      <c r="NFJ267" s="651"/>
      <c r="NFK267" s="691"/>
      <c r="NFL267" s="651"/>
      <c r="NFM267" s="691"/>
      <c r="NFN267" s="651"/>
      <c r="NFO267" s="691"/>
      <c r="NFP267" s="651"/>
      <c r="NFQ267" s="691"/>
      <c r="NFR267" s="651"/>
      <c r="NFS267" s="691"/>
      <c r="NFT267" s="651"/>
      <c r="NFU267" s="691"/>
      <c r="NFV267" s="651"/>
      <c r="NFW267" s="691"/>
      <c r="NFX267" s="651"/>
      <c r="NFY267" s="691"/>
      <c r="NFZ267" s="651"/>
      <c r="NGA267" s="691"/>
      <c r="NGB267" s="651"/>
      <c r="NGC267" s="691"/>
      <c r="NGD267" s="651"/>
      <c r="NGE267" s="691"/>
      <c r="NGF267" s="651"/>
      <c r="NGG267" s="691"/>
      <c r="NGH267" s="651"/>
      <c r="NGI267" s="691"/>
      <c r="NGJ267" s="651"/>
      <c r="NGK267" s="691"/>
      <c r="NGL267" s="651"/>
      <c r="NGM267" s="691"/>
      <c r="NGN267" s="651"/>
      <c r="NGO267" s="691"/>
      <c r="NGP267" s="651"/>
      <c r="NGQ267" s="691"/>
      <c r="NGR267" s="651"/>
      <c r="NGS267" s="691"/>
      <c r="NGT267" s="651"/>
      <c r="NGU267" s="691"/>
      <c r="NGV267" s="651"/>
      <c r="NGW267" s="691"/>
      <c r="NGX267" s="651"/>
      <c r="NGY267" s="691"/>
      <c r="NGZ267" s="651"/>
      <c r="NHA267" s="691"/>
      <c r="NHB267" s="651"/>
      <c r="NHC267" s="691"/>
      <c r="NHD267" s="651"/>
      <c r="NHE267" s="691"/>
      <c r="NHF267" s="651"/>
      <c r="NHG267" s="691"/>
      <c r="NHH267" s="651"/>
      <c r="NHI267" s="691"/>
      <c r="NHJ267" s="651"/>
      <c r="NHK267" s="691"/>
      <c r="NHL267" s="651"/>
      <c r="NHM267" s="691"/>
      <c r="NHN267" s="651"/>
      <c r="NHO267" s="691"/>
      <c r="NHP267" s="651"/>
      <c r="NHQ267" s="691"/>
      <c r="NHR267" s="651"/>
      <c r="NHS267" s="691"/>
      <c r="NHT267" s="651"/>
      <c r="NHU267" s="691"/>
      <c r="NHV267" s="651"/>
      <c r="NHW267" s="691"/>
      <c r="NHX267" s="651"/>
      <c r="NHY267" s="691"/>
      <c r="NHZ267" s="651"/>
      <c r="NIA267" s="691"/>
      <c r="NIB267" s="651"/>
      <c r="NIC267" s="691"/>
      <c r="NID267" s="651"/>
      <c r="NIE267" s="691"/>
      <c r="NIF267" s="651"/>
      <c r="NIG267" s="691"/>
      <c r="NIH267" s="651"/>
      <c r="NII267" s="691"/>
      <c r="NIJ267" s="651"/>
      <c r="NIK267" s="691"/>
      <c r="NIL267" s="651"/>
      <c r="NIM267" s="691"/>
      <c r="NIN267" s="651"/>
      <c r="NIO267" s="691"/>
      <c r="NIP267" s="651"/>
      <c r="NIQ267" s="691"/>
      <c r="NIR267" s="651"/>
      <c r="NIS267" s="691"/>
      <c r="NIT267" s="651"/>
      <c r="NIU267" s="691"/>
      <c r="NIV267" s="651"/>
      <c r="NIW267" s="691"/>
      <c r="NIX267" s="651"/>
      <c r="NIY267" s="691"/>
      <c r="NIZ267" s="651"/>
      <c r="NJA267" s="691"/>
      <c r="NJB267" s="651"/>
      <c r="NJC267" s="691"/>
      <c r="NJD267" s="651"/>
      <c r="NJE267" s="691"/>
      <c r="NJF267" s="651"/>
      <c r="NJG267" s="691"/>
      <c r="NJH267" s="651"/>
      <c r="NJI267" s="691"/>
      <c r="NJJ267" s="651"/>
      <c r="NJK267" s="691"/>
      <c r="NJL267" s="651"/>
      <c r="NJM267" s="691"/>
      <c r="NJN267" s="651"/>
      <c r="NJO267" s="691"/>
      <c r="NJP267" s="651"/>
      <c r="NJQ267" s="691"/>
      <c r="NJR267" s="651"/>
      <c r="NJS267" s="691"/>
      <c r="NJT267" s="651"/>
      <c r="NJU267" s="691"/>
      <c r="NJV267" s="651"/>
      <c r="NJW267" s="691"/>
      <c r="NJX267" s="651"/>
      <c r="NJY267" s="691"/>
      <c r="NJZ267" s="651"/>
      <c r="NKA267" s="691"/>
      <c r="NKB267" s="651"/>
      <c r="NKC267" s="691"/>
      <c r="NKD267" s="651"/>
      <c r="NKE267" s="691"/>
      <c r="NKF267" s="651"/>
      <c r="NKG267" s="691"/>
      <c r="NKH267" s="651"/>
      <c r="NKI267" s="691"/>
      <c r="NKJ267" s="651"/>
      <c r="NKK267" s="691"/>
      <c r="NKL267" s="651"/>
      <c r="NKM267" s="691"/>
      <c r="NKN267" s="651"/>
      <c r="NKO267" s="691"/>
      <c r="NKP267" s="651"/>
      <c r="NKQ267" s="691"/>
      <c r="NKR267" s="651"/>
      <c r="NKS267" s="691"/>
      <c r="NKT267" s="651"/>
      <c r="NKU267" s="691"/>
      <c r="NKV267" s="651"/>
      <c r="NKW267" s="691"/>
      <c r="NKX267" s="651"/>
      <c r="NKY267" s="691"/>
      <c r="NKZ267" s="651"/>
      <c r="NLA267" s="691"/>
      <c r="NLB267" s="651"/>
      <c r="NLC267" s="691"/>
      <c r="NLD267" s="651"/>
      <c r="NLE267" s="691"/>
      <c r="NLF267" s="651"/>
      <c r="NLG267" s="691"/>
      <c r="NLH267" s="651"/>
      <c r="NLI267" s="691"/>
      <c r="NLJ267" s="651"/>
      <c r="NLK267" s="691"/>
      <c r="NLL267" s="651"/>
      <c r="NLM267" s="691"/>
      <c r="NLN267" s="651"/>
      <c r="NLO267" s="691"/>
      <c r="NLP267" s="651"/>
      <c r="NLQ267" s="691"/>
      <c r="NLR267" s="651"/>
      <c r="NLS267" s="691"/>
      <c r="NLT267" s="651"/>
      <c r="NLU267" s="691"/>
      <c r="NLV267" s="651"/>
      <c r="NLW267" s="691"/>
      <c r="NLX267" s="651"/>
      <c r="NLY267" s="691"/>
      <c r="NLZ267" s="651"/>
      <c r="NMA267" s="691"/>
      <c r="NMB267" s="651"/>
      <c r="NMC267" s="691"/>
      <c r="NMD267" s="651"/>
      <c r="NME267" s="691"/>
      <c r="NMF267" s="651"/>
      <c r="NMG267" s="691"/>
      <c r="NMH267" s="651"/>
      <c r="NMI267" s="691"/>
      <c r="NMJ267" s="651"/>
      <c r="NMK267" s="691"/>
      <c r="NML267" s="651"/>
      <c r="NMM267" s="691"/>
      <c r="NMN267" s="651"/>
      <c r="NMO267" s="691"/>
      <c r="NMP267" s="651"/>
      <c r="NMQ267" s="691"/>
      <c r="NMR267" s="651"/>
      <c r="NMS267" s="691"/>
      <c r="NMT267" s="651"/>
      <c r="NMU267" s="691"/>
      <c r="NMV267" s="651"/>
      <c r="NMW267" s="691"/>
      <c r="NMX267" s="651"/>
      <c r="NMY267" s="691"/>
      <c r="NMZ267" s="651"/>
      <c r="NNA267" s="691"/>
      <c r="NNB267" s="651"/>
      <c r="NNC267" s="691"/>
      <c r="NND267" s="651"/>
      <c r="NNE267" s="691"/>
      <c r="NNF267" s="651"/>
      <c r="NNG267" s="691"/>
      <c r="NNH267" s="651"/>
      <c r="NNI267" s="691"/>
      <c r="NNJ267" s="651"/>
      <c r="NNK267" s="691"/>
      <c r="NNL267" s="651"/>
      <c r="NNM267" s="691"/>
      <c r="NNN267" s="651"/>
      <c r="NNO267" s="691"/>
      <c r="NNP267" s="651"/>
      <c r="NNQ267" s="691"/>
      <c r="NNR267" s="651"/>
      <c r="NNS267" s="691"/>
      <c r="NNT267" s="651"/>
      <c r="NNU267" s="691"/>
      <c r="NNV267" s="651"/>
      <c r="NNW267" s="691"/>
      <c r="NNX267" s="651"/>
      <c r="NNY267" s="691"/>
      <c r="NNZ267" s="651"/>
      <c r="NOA267" s="691"/>
      <c r="NOB267" s="651"/>
      <c r="NOC267" s="691"/>
      <c r="NOD267" s="651"/>
      <c r="NOE267" s="691"/>
      <c r="NOF267" s="651"/>
      <c r="NOG267" s="691"/>
      <c r="NOH267" s="651"/>
      <c r="NOI267" s="691"/>
      <c r="NOJ267" s="651"/>
      <c r="NOK267" s="691"/>
      <c r="NOL267" s="651"/>
      <c r="NOM267" s="691"/>
      <c r="NON267" s="651"/>
      <c r="NOO267" s="691"/>
      <c r="NOP267" s="651"/>
      <c r="NOQ267" s="691"/>
      <c r="NOR267" s="651"/>
      <c r="NOS267" s="691"/>
      <c r="NOT267" s="651"/>
      <c r="NOU267" s="691"/>
      <c r="NOV267" s="651"/>
      <c r="NOW267" s="691"/>
      <c r="NOX267" s="651"/>
      <c r="NOY267" s="691"/>
      <c r="NOZ267" s="651"/>
      <c r="NPA267" s="691"/>
      <c r="NPB267" s="651"/>
      <c r="NPC267" s="691"/>
      <c r="NPD267" s="651"/>
      <c r="NPE267" s="691"/>
      <c r="NPF267" s="651"/>
      <c r="NPG267" s="691"/>
      <c r="NPH267" s="651"/>
      <c r="NPI267" s="691"/>
      <c r="NPJ267" s="651"/>
      <c r="NPK267" s="691"/>
      <c r="NPL267" s="651"/>
      <c r="NPM267" s="691"/>
      <c r="NPN267" s="651"/>
      <c r="NPO267" s="691"/>
      <c r="NPP267" s="651"/>
      <c r="NPQ267" s="691"/>
      <c r="NPR267" s="651"/>
      <c r="NPS267" s="691"/>
      <c r="NPT267" s="651"/>
      <c r="NPU267" s="691"/>
      <c r="NPV267" s="651"/>
      <c r="NPW267" s="691"/>
      <c r="NPX267" s="651"/>
      <c r="NPY267" s="691"/>
      <c r="NPZ267" s="651"/>
      <c r="NQA267" s="691"/>
      <c r="NQB267" s="651"/>
      <c r="NQC267" s="691"/>
      <c r="NQD267" s="651"/>
      <c r="NQE267" s="691"/>
      <c r="NQF267" s="651"/>
      <c r="NQG267" s="691"/>
      <c r="NQH267" s="651"/>
      <c r="NQI267" s="691"/>
      <c r="NQJ267" s="651"/>
      <c r="NQK267" s="691"/>
      <c r="NQL267" s="651"/>
      <c r="NQM267" s="691"/>
      <c r="NQN267" s="651"/>
      <c r="NQO267" s="691"/>
      <c r="NQP267" s="651"/>
      <c r="NQQ267" s="691"/>
      <c r="NQR267" s="651"/>
      <c r="NQS267" s="691"/>
      <c r="NQT267" s="651"/>
      <c r="NQU267" s="691"/>
      <c r="NQV267" s="651"/>
      <c r="NQW267" s="691"/>
      <c r="NQX267" s="651"/>
      <c r="NQY267" s="691"/>
      <c r="NQZ267" s="651"/>
      <c r="NRA267" s="691"/>
      <c r="NRB267" s="651"/>
      <c r="NRC267" s="691"/>
      <c r="NRD267" s="651"/>
      <c r="NRE267" s="691"/>
      <c r="NRF267" s="651"/>
      <c r="NRG267" s="691"/>
      <c r="NRH267" s="651"/>
      <c r="NRI267" s="691"/>
      <c r="NRJ267" s="651"/>
      <c r="NRK267" s="691"/>
      <c r="NRL267" s="651"/>
      <c r="NRM267" s="691"/>
      <c r="NRN267" s="651"/>
      <c r="NRO267" s="691"/>
      <c r="NRP267" s="651"/>
      <c r="NRQ267" s="691"/>
      <c r="NRR267" s="651"/>
      <c r="NRS267" s="691"/>
      <c r="NRT267" s="651"/>
      <c r="NRU267" s="691"/>
      <c r="NRV267" s="651"/>
      <c r="NRW267" s="691"/>
      <c r="NRX267" s="651"/>
      <c r="NRY267" s="691"/>
      <c r="NRZ267" s="651"/>
      <c r="NSA267" s="691"/>
      <c r="NSB267" s="651"/>
      <c r="NSC267" s="691"/>
      <c r="NSD267" s="651"/>
      <c r="NSE267" s="691"/>
      <c r="NSF267" s="651"/>
      <c r="NSG267" s="691"/>
      <c r="NSH267" s="651"/>
      <c r="NSI267" s="691"/>
      <c r="NSJ267" s="651"/>
      <c r="NSK267" s="691"/>
      <c r="NSL267" s="651"/>
      <c r="NSM267" s="691"/>
      <c r="NSN267" s="651"/>
      <c r="NSO267" s="691"/>
      <c r="NSP267" s="651"/>
      <c r="NSQ267" s="691"/>
      <c r="NSR267" s="651"/>
      <c r="NSS267" s="691"/>
      <c r="NST267" s="651"/>
      <c r="NSU267" s="691"/>
      <c r="NSV267" s="651"/>
      <c r="NSW267" s="691"/>
      <c r="NSX267" s="651"/>
      <c r="NSY267" s="691"/>
      <c r="NSZ267" s="651"/>
      <c r="NTA267" s="691"/>
      <c r="NTB267" s="651"/>
      <c r="NTC267" s="691"/>
      <c r="NTD267" s="651"/>
      <c r="NTE267" s="691"/>
      <c r="NTF267" s="651"/>
      <c r="NTG267" s="691"/>
      <c r="NTH267" s="651"/>
      <c r="NTI267" s="691"/>
      <c r="NTJ267" s="651"/>
      <c r="NTK267" s="691"/>
      <c r="NTL267" s="651"/>
      <c r="NTM267" s="691"/>
      <c r="NTN267" s="651"/>
      <c r="NTO267" s="691"/>
      <c r="NTP267" s="651"/>
      <c r="NTQ267" s="691"/>
      <c r="NTR267" s="651"/>
      <c r="NTS267" s="691"/>
      <c r="NTT267" s="651"/>
      <c r="NTU267" s="691"/>
      <c r="NTV267" s="651"/>
      <c r="NTW267" s="691"/>
      <c r="NTX267" s="651"/>
      <c r="NTY267" s="691"/>
      <c r="NTZ267" s="651"/>
      <c r="NUA267" s="691"/>
      <c r="NUB267" s="651"/>
      <c r="NUC267" s="691"/>
      <c r="NUD267" s="651"/>
      <c r="NUE267" s="691"/>
      <c r="NUF267" s="651"/>
      <c r="NUG267" s="691"/>
      <c r="NUH267" s="651"/>
      <c r="NUI267" s="691"/>
      <c r="NUJ267" s="651"/>
      <c r="NUK267" s="691"/>
      <c r="NUL267" s="651"/>
      <c r="NUM267" s="691"/>
      <c r="NUN267" s="651"/>
      <c r="NUO267" s="691"/>
      <c r="NUP267" s="651"/>
      <c r="NUQ267" s="691"/>
      <c r="NUR267" s="651"/>
      <c r="NUS267" s="691"/>
      <c r="NUT267" s="651"/>
      <c r="NUU267" s="691"/>
      <c r="NUV267" s="651"/>
      <c r="NUW267" s="691"/>
      <c r="NUX267" s="651"/>
      <c r="NUY267" s="691"/>
      <c r="NUZ267" s="651"/>
      <c r="NVA267" s="691"/>
      <c r="NVB267" s="651"/>
      <c r="NVC267" s="691"/>
      <c r="NVD267" s="651"/>
      <c r="NVE267" s="691"/>
      <c r="NVF267" s="651"/>
      <c r="NVG267" s="691"/>
      <c r="NVH267" s="651"/>
      <c r="NVI267" s="691"/>
      <c r="NVJ267" s="651"/>
      <c r="NVK267" s="691"/>
      <c r="NVL267" s="651"/>
      <c r="NVM267" s="691"/>
      <c r="NVN267" s="651"/>
      <c r="NVO267" s="691"/>
      <c r="NVP267" s="651"/>
      <c r="NVQ267" s="691"/>
      <c r="NVR267" s="651"/>
      <c r="NVS267" s="691"/>
      <c r="NVT267" s="651"/>
      <c r="NVU267" s="691"/>
      <c r="NVV267" s="651"/>
      <c r="NVW267" s="691"/>
      <c r="NVX267" s="651"/>
      <c r="NVY267" s="691"/>
      <c r="NVZ267" s="651"/>
      <c r="NWA267" s="691"/>
      <c r="NWB267" s="651"/>
      <c r="NWC267" s="691"/>
      <c r="NWD267" s="651"/>
      <c r="NWE267" s="691"/>
      <c r="NWF267" s="651"/>
      <c r="NWG267" s="691"/>
      <c r="NWH267" s="651"/>
      <c r="NWI267" s="691"/>
      <c r="NWJ267" s="651"/>
      <c r="NWK267" s="691"/>
      <c r="NWL267" s="651"/>
      <c r="NWM267" s="691"/>
      <c r="NWN267" s="651"/>
      <c r="NWO267" s="691"/>
      <c r="NWP267" s="651"/>
      <c r="NWQ267" s="691"/>
      <c r="NWR267" s="651"/>
      <c r="NWS267" s="691"/>
      <c r="NWT267" s="651"/>
      <c r="NWU267" s="691"/>
      <c r="NWV267" s="651"/>
      <c r="NWW267" s="691"/>
      <c r="NWX267" s="651"/>
      <c r="NWY267" s="691"/>
      <c r="NWZ267" s="651"/>
      <c r="NXA267" s="691"/>
      <c r="NXB267" s="651"/>
      <c r="NXC267" s="691"/>
      <c r="NXD267" s="651"/>
      <c r="NXE267" s="691"/>
      <c r="NXF267" s="651"/>
      <c r="NXG267" s="691"/>
      <c r="NXH267" s="651"/>
      <c r="NXI267" s="691"/>
      <c r="NXJ267" s="651"/>
      <c r="NXK267" s="691"/>
      <c r="NXL267" s="651"/>
      <c r="NXM267" s="691"/>
      <c r="NXN267" s="651"/>
      <c r="NXO267" s="691"/>
      <c r="NXP267" s="651"/>
      <c r="NXQ267" s="691"/>
      <c r="NXR267" s="651"/>
      <c r="NXS267" s="691"/>
      <c r="NXT267" s="651"/>
      <c r="NXU267" s="691"/>
      <c r="NXV267" s="651"/>
      <c r="NXW267" s="691"/>
      <c r="NXX267" s="651"/>
      <c r="NXY267" s="691"/>
      <c r="NXZ267" s="651"/>
      <c r="NYA267" s="691"/>
      <c r="NYB267" s="651"/>
      <c r="NYC267" s="691"/>
      <c r="NYD267" s="651"/>
      <c r="NYE267" s="691"/>
      <c r="NYF267" s="651"/>
      <c r="NYG267" s="691"/>
      <c r="NYH267" s="651"/>
      <c r="NYI267" s="691"/>
      <c r="NYJ267" s="651"/>
      <c r="NYK267" s="691"/>
      <c r="NYL267" s="651"/>
      <c r="NYM267" s="691"/>
      <c r="NYN267" s="651"/>
      <c r="NYO267" s="691"/>
      <c r="NYP267" s="651"/>
      <c r="NYQ267" s="691"/>
      <c r="NYR267" s="651"/>
      <c r="NYS267" s="691"/>
      <c r="NYT267" s="651"/>
      <c r="NYU267" s="691"/>
      <c r="NYV267" s="651"/>
      <c r="NYW267" s="691"/>
      <c r="NYX267" s="651"/>
      <c r="NYY267" s="691"/>
      <c r="NYZ267" s="651"/>
      <c r="NZA267" s="691"/>
      <c r="NZB267" s="651"/>
      <c r="NZC267" s="691"/>
      <c r="NZD267" s="651"/>
      <c r="NZE267" s="691"/>
      <c r="NZF267" s="651"/>
      <c r="NZG267" s="691"/>
      <c r="NZH267" s="651"/>
      <c r="NZI267" s="691"/>
      <c r="NZJ267" s="651"/>
      <c r="NZK267" s="691"/>
      <c r="NZL267" s="651"/>
      <c r="NZM267" s="691"/>
      <c r="NZN267" s="651"/>
      <c r="NZO267" s="691"/>
      <c r="NZP267" s="651"/>
      <c r="NZQ267" s="691"/>
      <c r="NZR267" s="651"/>
      <c r="NZS267" s="691"/>
      <c r="NZT267" s="651"/>
      <c r="NZU267" s="691"/>
      <c r="NZV267" s="651"/>
      <c r="NZW267" s="691"/>
      <c r="NZX267" s="651"/>
      <c r="NZY267" s="691"/>
      <c r="NZZ267" s="651"/>
      <c r="OAA267" s="691"/>
      <c r="OAB267" s="651"/>
      <c r="OAC267" s="691"/>
      <c r="OAD267" s="651"/>
      <c r="OAE267" s="691"/>
      <c r="OAF267" s="651"/>
      <c r="OAG267" s="691"/>
      <c r="OAH267" s="651"/>
      <c r="OAI267" s="691"/>
      <c r="OAJ267" s="651"/>
      <c r="OAK267" s="691"/>
      <c r="OAL267" s="651"/>
      <c r="OAM267" s="691"/>
      <c r="OAN267" s="651"/>
      <c r="OAO267" s="691"/>
      <c r="OAP267" s="651"/>
      <c r="OAQ267" s="691"/>
      <c r="OAR267" s="651"/>
      <c r="OAS267" s="691"/>
      <c r="OAT267" s="651"/>
      <c r="OAU267" s="691"/>
      <c r="OAV267" s="651"/>
      <c r="OAW267" s="691"/>
      <c r="OAX267" s="651"/>
      <c r="OAY267" s="691"/>
      <c r="OAZ267" s="651"/>
      <c r="OBA267" s="691"/>
      <c r="OBB267" s="651"/>
      <c r="OBC267" s="691"/>
      <c r="OBD267" s="651"/>
      <c r="OBE267" s="691"/>
      <c r="OBF267" s="651"/>
      <c r="OBG267" s="691"/>
      <c r="OBH267" s="651"/>
      <c r="OBI267" s="691"/>
      <c r="OBJ267" s="651"/>
      <c r="OBK267" s="691"/>
      <c r="OBL267" s="651"/>
      <c r="OBM267" s="691"/>
      <c r="OBN267" s="651"/>
      <c r="OBO267" s="691"/>
      <c r="OBP267" s="651"/>
      <c r="OBQ267" s="691"/>
      <c r="OBR267" s="651"/>
      <c r="OBS267" s="691"/>
      <c r="OBT267" s="651"/>
      <c r="OBU267" s="691"/>
      <c r="OBV267" s="651"/>
      <c r="OBW267" s="691"/>
      <c r="OBX267" s="651"/>
      <c r="OBY267" s="691"/>
      <c r="OBZ267" s="651"/>
      <c r="OCA267" s="691"/>
      <c r="OCB267" s="651"/>
      <c r="OCC267" s="691"/>
      <c r="OCD267" s="651"/>
      <c r="OCE267" s="691"/>
      <c r="OCF267" s="651"/>
      <c r="OCG267" s="691"/>
      <c r="OCH267" s="651"/>
      <c r="OCI267" s="691"/>
      <c r="OCJ267" s="651"/>
      <c r="OCK267" s="691"/>
      <c r="OCL267" s="651"/>
      <c r="OCM267" s="691"/>
      <c r="OCN267" s="651"/>
      <c r="OCO267" s="691"/>
      <c r="OCP267" s="651"/>
      <c r="OCQ267" s="691"/>
      <c r="OCR267" s="651"/>
      <c r="OCS267" s="691"/>
      <c r="OCT267" s="651"/>
      <c r="OCU267" s="691"/>
      <c r="OCV267" s="651"/>
      <c r="OCW267" s="691"/>
      <c r="OCX267" s="651"/>
      <c r="OCY267" s="691"/>
      <c r="OCZ267" s="651"/>
      <c r="ODA267" s="691"/>
      <c r="ODB267" s="651"/>
      <c r="ODC267" s="691"/>
      <c r="ODD267" s="651"/>
      <c r="ODE267" s="691"/>
      <c r="ODF267" s="651"/>
      <c r="ODG267" s="691"/>
      <c r="ODH267" s="651"/>
      <c r="ODI267" s="691"/>
      <c r="ODJ267" s="651"/>
      <c r="ODK267" s="691"/>
      <c r="ODL267" s="651"/>
      <c r="ODM267" s="691"/>
      <c r="ODN267" s="651"/>
      <c r="ODO267" s="691"/>
      <c r="ODP267" s="651"/>
      <c r="ODQ267" s="691"/>
      <c r="ODR267" s="651"/>
      <c r="ODS267" s="691"/>
      <c r="ODT267" s="651"/>
      <c r="ODU267" s="691"/>
      <c r="ODV267" s="651"/>
      <c r="ODW267" s="691"/>
      <c r="ODX267" s="651"/>
      <c r="ODY267" s="691"/>
      <c r="ODZ267" s="651"/>
      <c r="OEA267" s="691"/>
      <c r="OEB267" s="651"/>
      <c r="OEC267" s="691"/>
      <c r="OED267" s="651"/>
      <c r="OEE267" s="691"/>
      <c r="OEF267" s="651"/>
      <c r="OEG267" s="691"/>
      <c r="OEH267" s="651"/>
      <c r="OEI267" s="691"/>
      <c r="OEJ267" s="651"/>
      <c r="OEK267" s="691"/>
      <c r="OEL267" s="651"/>
      <c r="OEM267" s="691"/>
      <c r="OEN267" s="651"/>
      <c r="OEO267" s="691"/>
      <c r="OEP267" s="651"/>
      <c r="OEQ267" s="691"/>
      <c r="OER267" s="651"/>
      <c r="OES267" s="691"/>
      <c r="OET267" s="651"/>
      <c r="OEU267" s="691"/>
      <c r="OEV267" s="651"/>
      <c r="OEW267" s="691"/>
      <c r="OEX267" s="651"/>
      <c r="OEY267" s="691"/>
      <c r="OEZ267" s="651"/>
      <c r="OFA267" s="691"/>
      <c r="OFB267" s="651"/>
      <c r="OFC267" s="691"/>
      <c r="OFD267" s="651"/>
      <c r="OFE267" s="691"/>
      <c r="OFF267" s="651"/>
      <c r="OFG267" s="691"/>
      <c r="OFH267" s="651"/>
      <c r="OFI267" s="691"/>
      <c r="OFJ267" s="651"/>
      <c r="OFK267" s="691"/>
      <c r="OFL267" s="651"/>
      <c r="OFM267" s="691"/>
      <c r="OFN267" s="651"/>
      <c r="OFO267" s="691"/>
      <c r="OFP267" s="651"/>
      <c r="OFQ267" s="691"/>
      <c r="OFR267" s="651"/>
      <c r="OFS267" s="691"/>
      <c r="OFT267" s="651"/>
      <c r="OFU267" s="691"/>
      <c r="OFV267" s="651"/>
      <c r="OFW267" s="691"/>
      <c r="OFX267" s="651"/>
      <c r="OFY267" s="691"/>
      <c r="OFZ267" s="651"/>
      <c r="OGA267" s="691"/>
      <c r="OGB267" s="651"/>
      <c r="OGC267" s="691"/>
      <c r="OGD267" s="651"/>
      <c r="OGE267" s="691"/>
      <c r="OGF267" s="651"/>
      <c r="OGG267" s="691"/>
      <c r="OGH267" s="651"/>
      <c r="OGI267" s="691"/>
      <c r="OGJ267" s="651"/>
      <c r="OGK267" s="691"/>
      <c r="OGL267" s="651"/>
      <c r="OGM267" s="691"/>
      <c r="OGN267" s="651"/>
      <c r="OGO267" s="691"/>
      <c r="OGP267" s="651"/>
      <c r="OGQ267" s="691"/>
      <c r="OGR267" s="651"/>
      <c r="OGS267" s="691"/>
      <c r="OGT267" s="651"/>
      <c r="OGU267" s="691"/>
      <c r="OGV267" s="651"/>
      <c r="OGW267" s="691"/>
      <c r="OGX267" s="651"/>
      <c r="OGY267" s="691"/>
      <c r="OGZ267" s="651"/>
      <c r="OHA267" s="691"/>
      <c r="OHB267" s="651"/>
      <c r="OHC267" s="691"/>
      <c r="OHD267" s="651"/>
      <c r="OHE267" s="691"/>
      <c r="OHF267" s="651"/>
      <c r="OHG267" s="691"/>
      <c r="OHH267" s="651"/>
      <c r="OHI267" s="691"/>
      <c r="OHJ267" s="651"/>
      <c r="OHK267" s="691"/>
      <c r="OHL267" s="651"/>
      <c r="OHM267" s="691"/>
      <c r="OHN267" s="651"/>
      <c r="OHO267" s="691"/>
      <c r="OHP267" s="651"/>
      <c r="OHQ267" s="691"/>
      <c r="OHR267" s="651"/>
      <c r="OHS267" s="691"/>
      <c r="OHT267" s="651"/>
      <c r="OHU267" s="691"/>
      <c r="OHV267" s="651"/>
      <c r="OHW267" s="691"/>
      <c r="OHX267" s="651"/>
      <c r="OHY267" s="691"/>
      <c r="OHZ267" s="651"/>
      <c r="OIA267" s="691"/>
      <c r="OIB267" s="651"/>
      <c r="OIC267" s="691"/>
      <c r="OID267" s="651"/>
      <c r="OIE267" s="691"/>
      <c r="OIF267" s="651"/>
      <c r="OIG267" s="691"/>
      <c r="OIH267" s="651"/>
      <c r="OII267" s="691"/>
      <c r="OIJ267" s="651"/>
      <c r="OIK267" s="691"/>
      <c r="OIL267" s="651"/>
      <c r="OIM267" s="691"/>
      <c r="OIN267" s="651"/>
      <c r="OIO267" s="691"/>
      <c r="OIP267" s="651"/>
      <c r="OIQ267" s="691"/>
      <c r="OIR267" s="651"/>
      <c r="OIS267" s="691"/>
      <c r="OIT267" s="651"/>
      <c r="OIU267" s="691"/>
      <c r="OIV267" s="651"/>
      <c r="OIW267" s="691"/>
      <c r="OIX267" s="651"/>
      <c r="OIY267" s="691"/>
      <c r="OIZ267" s="651"/>
      <c r="OJA267" s="691"/>
      <c r="OJB267" s="651"/>
      <c r="OJC267" s="691"/>
      <c r="OJD267" s="651"/>
      <c r="OJE267" s="691"/>
      <c r="OJF267" s="651"/>
      <c r="OJG267" s="691"/>
      <c r="OJH267" s="651"/>
      <c r="OJI267" s="691"/>
      <c r="OJJ267" s="651"/>
      <c r="OJK267" s="691"/>
      <c r="OJL267" s="651"/>
      <c r="OJM267" s="691"/>
      <c r="OJN267" s="651"/>
      <c r="OJO267" s="691"/>
      <c r="OJP267" s="651"/>
      <c r="OJQ267" s="691"/>
      <c r="OJR267" s="651"/>
      <c r="OJS267" s="691"/>
      <c r="OJT267" s="651"/>
      <c r="OJU267" s="691"/>
      <c r="OJV267" s="651"/>
      <c r="OJW267" s="691"/>
      <c r="OJX267" s="651"/>
      <c r="OJY267" s="691"/>
      <c r="OJZ267" s="651"/>
      <c r="OKA267" s="691"/>
      <c r="OKB267" s="651"/>
      <c r="OKC267" s="691"/>
      <c r="OKD267" s="651"/>
      <c r="OKE267" s="691"/>
      <c r="OKF267" s="651"/>
      <c r="OKG267" s="691"/>
      <c r="OKH267" s="651"/>
      <c r="OKI267" s="691"/>
      <c r="OKJ267" s="651"/>
      <c r="OKK267" s="691"/>
      <c r="OKL267" s="651"/>
      <c r="OKM267" s="691"/>
      <c r="OKN267" s="651"/>
      <c r="OKO267" s="691"/>
      <c r="OKP267" s="651"/>
      <c r="OKQ267" s="691"/>
      <c r="OKR267" s="651"/>
      <c r="OKS267" s="691"/>
      <c r="OKT267" s="651"/>
      <c r="OKU267" s="691"/>
      <c r="OKV267" s="651"/>
      <c r="OKW267" s="691"/>
      <c r="OKX267" s="651"/>
      <c r="OKY267" s="691"/>
      <c r="OKZ267" s="651"/>
      <c r="OLA267" s="691"/>
      <c r="OLB267" s="651"/>
      <c r="OLC267" s="691"/>
      <c r="OLD267" s="651"/>
      <c r="OLE267" s="691"/>
      <c r="OLF267" s="651"/>
      <c r="OLG267" s="691"/>
      <c r="OLH267" s="651"/>
      <c r="OLI267" s="691"/>
      <c r="OLJ267" s="651"/>
      <c r="OLK267" s="691"/>
      <c r="OLL267" s="651"/>
      <c r="OLM267" s="691"/>
      <c r="OLN267" s="651"/>
      <c r="OLO267" s="691"/>
      <c r="OLP267" s="651"/>
      <c r="OLQ267" s="691"/>
      <c r="OLR267" s="651"/>
      <c r="OLS267" s="691"/>
      <c r="OLT267" s="651"/>
      <c r="OLU267" s="691"/>
      <c r="OLV267" s="651"/>
      <c r="OLW267" s="691"/>
      <c r="OLX267" s="651"/>
      <c r="OLY267" s="691"/>
      <c r="OLZ267" s="651"/>
      <c r="OMA267" s="691"/>
      <c r="OMB267" s="651"/>
      <c r="OMC267" s="691"/>
      <c r="OMD267" s="651"/>
      <c r="OME267" s="691"/>
      <c r="OMF267" s="651"/>
      <c r="OMG267" s="691"/>
      <c r="OMH267" s="651"/>
      <c r="OMI267" s="691"/>
      <c r="OMJ267" s="651"/>
      <c r="OMK267" s="691"/>
      <c r="OML267" s="651"/>
      <c r="OMM267" s="691"/>
      <c r="OMN267" s="651"/>
      <c r="OMO267" s="691"/>
      <c r="OMP267" s="651"/>
      <c r="OMQ267" s="691"/>
      <c r="OMR267" s="651"/>
      <c r="OMS267" s="691"/>
      <c r="OMT267" s="651"/>
      <c r="OMU267" s="691"/>
      <c r="OMV267" s="651"/>
      <c r="OMW267" s="691"/>
      <c r="OMX267" s="651"/>
      <c r="OMY267" s="691"/>
      <c r="OMZ267" s="651"/>
      <c r="ONA267" s="691"/>
      <c r="ONB267" s="651"/>
      <c r="ONC267" s="691"/>
      <c r="OND267" s="651"/>
      <c r="ONE267" s="691"/>
      <c r="ONF267" s="651"/>
      <c r="ONG267" s="691"/>
      <c r="ONH267" s="651"/>
      <c r="ONI267" s="691"/>
      <c r="ONJ267" s="651"/>
      <c r="ONK267" s="691"/>
      <c r="ONL267" s="651"/>
      <c r="ONM267" s="691"/>
      <c r="ONN267" s="651"/>
      <c r="ONO267" s="691"/>
      <c r="ONP267" s="651"/>
      <c r="ONQ267" s="691"/>
      <c r="ONR267" s="651"/>
      <c r="ONS267" s="691"/>
      <c r="ONT267" s="651"/>
      <c r="ONU267" s="691"/>
      <c r="ONV267" s="651"/>
      <c r="ONW267" s="691"/>
      <c r="ONX267" s="651"/>
      <c r="ONY267" s="691"/>
      <c r="ONZ267" s="651"/>
      <c r="OOA267" s="691"/>
      <c r="OOB267" s="651"/>
      <c r="OOC267" s="691"/>
      <c r="OOD267" s="651"/>
      <c r="OOE267" s="691"/>
      <c r="OOF267" s="651"/>
      <c r="OOG267" s="691"/>
      <c r="OOH267" s="651"/>
      <c r="OOI267" s="691"/>
      <c r="OOJ267" s="651"/>
      <c r="OOK267" s="691"/>
      <c r="OOL267" s="651"/>
      <c r="OOM267" s="691"/>
      <c r="OON267" s="651"/>
      <c r="OOO267" s="691"/>
      <c r="OOP267" s="651"/>
      <c r="OOQ267" s="691"/>
      <c r="OOR267" s="651"/>
      <c r="OOS267" s="691"/>
      <c r="OOT267" s="651"/>
      <c r="OOU267" s="691"/>
      <c r="OOV267" s="651"/>
      <c r="OOW267" s="691"/>
      <c r="OOX267" s="651"/>
      <c r="OOY267" s="691"/>
      <c r="OOZ267" s="651"/>
      <c r="OPA267" s="691"/>
      <c r="OPB267" s="651"/>
      <c r="OPC267" s="691"/>
      <c r="OPD267" s="651"/>
      <c r="OPE267" s="691"/>
      <c r="OPF267" s="651"/>
      <c r="OPG267" s="691"/>
      <c r="OPH267" s="651"/>
      <c r="OPI267" s="691"/>
      <c r="OPJ267" s="651"/>
      <c r="OPK267" s="691"/>
      <c r="OPL267" s="651"/>
      <c r="OPM267" s="691"/>
      <c r="OPN267" s="651"/>
      <c r="OPO267" s="691"/>
      <c r="OPP267" s="651"/>
      <c r="OPQ267" s="691"/>
      <c r="OPR267" s="651"/>
      <c r="OPS267" s="691"/>
      <c r="OPT267" s="651"/>
      <c r="OPU267" s="691"/>
      <c r="OPV267" s="651"/>
      <c r="OPW267" s="691"/>
      <c r="OPX267" s="651"/>
      <c r="OPY267" s="691"/>
      <c r="OPZ267" s="651"/>
      <c r="OQA267" s="691"/>
      <c r="OQB267" s="651"/>
      <c r="OQC267" s="691"/>
      <c r="OQD267" s="651"/>
      <c r="OQE267" s="691"/>
      <c r="OQF267" s="651"/>
      <c r="OQG267" s="691"/>
      <c r="OQH267" s="651"/>
      <c r="OQI267" s="691"/>
      <c r="OQJ267" s="651"/>
      <c r="OQK267" s="691"/>
      <c r="OQL267" s="651"/>
      <c r="OQM267" s="691"/>
      <c r="OQN267" s="651"/>
      <c r="OQO267" s="691"/>
      <c r="OQP267" s="651"/>
      <c r="OQQ267" s="691"/>
      <c r="OQR267" s="651"/>
      <c r="OQS267" s="691"/>
      <c r="OQT267" s="651"/>
      <c r="OQU267" s="691"/>
      <c r="OQV267" s="651"/>
      <c r="OQW267" s="691"/>
      <c r="OQX267" s="651"/>
      <c r="OQY267" s="691"/>
      <c r="OQZ267" s="651"/>
      <c r="ORA267" s="691"/>
      <c r="ORB267" s="651"/>
      <c r="ORC267" s="691"/>
      <c r="ORD267" s="651"/>
      <c r="ORE267" s="691"/>
      <c r="ORF267" s="651"/>
      <c r="ORG267" s="691"/>
      <c r="ORH267" s="651"/>
      <c r="ORI267" s="691"/>
      <c r="ORJ267" s="651"/>
      <c r="ORK267" s="691"/>
      <c r="ORL267" s="651"/>
      <c r="ORM267" s="691"/>
      <c r="ORN267" s="651"/>
      <c r="ORO267" s="691"/>
      <c r="ORP267" s="651"/>
      <c r="ORQ267" s="691"/>
      <c r="ORR267" s="651"/>
      <c r="ORS267" s="691"/>
      <c r="ORT267" s="651"/>
      <c r="ORU267" s="691"/>
      <c r="ORV267" s="651"/>
      <c r="ORW267" s="691"/>
      <c r="ORX267" s="651"/>
      <c r="ORY267" s="691"/>
      <c r="ORZ267" s="651"/>
      <c r="OSA267" s="691"/>
      <c r="OSB267" s="651"/>
      <c r="OSC267" s="691"/>
      <c r="OSD267" s="651"/>
      <c r="OSE267" s="691"/>
      <c r="OSF267" s="651"/>
      <c r="OSG267" s="691"/>
      <c r="OSH267" s="651"/>
      <c r="OSI267" s="691"/>
      <c r="OSJ267" s="651"/>
      <c r="OSK267" s="691"/>
      <c r="OSL267" s="651"/>
      <c r="OSM267" s="691"/>
      <c r="OSN267" s="651"/>
      <c r="OSO267" s="691"/>
      <c r="OSP267" s="651"/>
      <c r="OSQ267" s="691"/>
      <c r="OSR267" s="651"/>
      <c r="OSS267" s="691"/>
      <c r="OST267" s="651"/>
      <c r="OSU267" s="691"/>
      <c r="OSV267" s="651"/>
      <c r="OSW267" s="691"/>
      <c r="OSX267" s="651"/>
      <c r="OSY267" s="691"/>
      <c r="OSZ267" s="651"/>
      <c r="OTA267" s="691"/>
      <c r="OTB267" s="651"/>
      <c r="OTC267" s="691"/>
      <c r="OTD267" s="651"/>
      <c r="OTE267" s="691"/>
      <c r="OTF267" s="651"/>
      <c r="OTG267" s="691"/>
      <c r="OTH267" s="651"/>
      <c r="OTI267" s="691"/>
      <c r="OTJ267" s="651"/>
      <c r="OTK267" s="691"/>
      <c r="OTL267" s="651"/>
      <c r="OTM267" s="691"/>
      <c r="OTN267" s="651"/>
      <c r="OTO267" s="691"/>
      <c r="OTP267" s="651"/>
      <c r="OTQ267" s="691"/>
      <c r="OTR267" s="651"/>
      <c r="OTS267" s="691"/>
      <c r="OTT267" s="651"/>
      <c r="OTU267" s="691"/>
      <c r="OTV267" s="651"/>
      <c r="OTW267" s="691"/>
      <c r="OTX267" s="651"/>
      <c r="OTY267" s="691"/>
      <c r="OTZ267" s="651"/>
      <c r="OUA267" s="691"/>
      <c r="OUB267" s="651"/>
      <c r="OUC267" s="691"/>
      <c r="OUD267" s="651"/>
      <c r="OUE267" s="691"/>
      <c r="OUF267" s="651"/>
      <c r="OUG267" s="691"/>
      <c r="OUH267" s="651"/>
      <c r="OUI267" s="691"/>
      <c r="OUJ267" s="651"/>
      <c r="OUK267" s="691"/>
      <c r="OUL267" s="651"/>
      <c r="OUM267" s="691"/>
      <c r="OUN267" s="651"/>
      <c r="OUO267" s="691"/>
      <c r="OUP267" s="651"/>
      <c r="OUQ267" s="691"/>
      <c r="OUR267" s="651"/>
      <c r="OUS267" s="691"/>
      <c r="OUT267" s="651"/>
      <c r="OUU267" s="691"/>
      <c r="OUV267" s="651"/>
      <c r="OUW267" s="691"/>
      <c r="OUX267" s="651"/>
      <c r="OUY267" s="691"/>
      <c r="OUZ267" s="651"/>
      <c r="OVA267" s="691"/>
      <c r="OVB267" s="651"/>
      <c r="OVC267" s="691"/>
      <c r="OVD267" s="651"/>
      <c r="OVE267" s="691"/>
      <c r="OVF267" s="651"/>
      <c r="OVG267" s="691"/>
      <c r="OVH267" s="651"/>
      <c r="OVI267" s="691"/>
      <c r="OVJ267" s="651"/>
      <c r="OVK267" s="691"/>
      <c r="OVL267" s="651"/>
      <c r="OVM267" s="691"/>
      <c r="OVN267" s="651"/>
      <c r="OVO267" s="691"/>
      <c r="OVP267" s="651"/>
      <c r="OVQ267" s="691"/>
      <c r="OVR267" s="651"/>
      <c r="OVS267" s="691"/>
      <c r="OVT267" s="651"/>
      <c r="OVU267" s="691"/>
      <c r="OVV267" s="651"/>
      <c r="OVW267" s="691"/>
      <c r="OVX267" s="651"/>
      <c r="OVY267" s="691"/>
      <c r="OVZ267" s="651"/>
      <c r="OWA267" s="691"/>
      <c r="OWB267" s="651"/>
      <c r="OWC267" s="691"/>
      <c r="OWD267" s="651"/>
      <c r="OWE267" s="691"/>
      <c r="OWF267" s="651"/>
      <c r="OWG267" s="691"/>
      <c r="OWH267" s="651"/>
      <c r="OWI267" s="691"/>
      <c r="OWJ267" s="651"/>
      <c r="OWK267" s="691"/>
      <c r="OWL267" s="651"/>
      <c r="OWM267" s="691"/>
      <c r="OWN267" s="651"/>
      <c r="OWO267" s="691"/>
      <c r="OWP267" s="651"/>
      <c r="OWQ267" s="691"/>
      <c r="OWR267" s="651"/>
      <c r="OWS267" s="691"/>
      <c r="OWT267" s="651"/>
      <c r="OWU267" s="691"/>
      <c r="OWV267" s="651"/>
      <c r="OWW267" s="691"/>
      <c r="OWX267" s="651"/>
      <c r="OWY267" s="691"/>
      <c r="OWZ267" s="651"/>
      <c r="OXA267" s="691"/>
      <c r="OXB267" s="651"/>
      <c r="OXC267" s="691"/>
      <c r="OXD267" s="651"/>
      <c r="OXE267" s="691"/>
      <c r="OXF267" s="651"/>
      <c r="OXG267" s="691"/>
      <c r="OXH267" s="651"/>
      <c r="OXI267" s="691"/>
      <c r="OXJ267" s="651"/>
      <c r="OXK267" s="691"/>
      <c r="OXL267" s="651"/>
      <c r="OXM267" s="691"/>
      <c r="OXN267" s="651"/>
      <c r="OXO267" s="691"/>
      <c r="OXP267" s="651"/>
      <c r="OXQ267" s="691"/>
      <c r="OXR267" s="651"/>
      <c r="OXS267" s="691"/>
      <c r="OXT267" s="651"/>
      <c r="OXU267" s="691"/>
      <c r="OXV267" s="651"/>
      <c r="OXW267" s="691"/>
      <c r="OXX267" s="651"/>
      <c r="OXY267" s="691"/>
      <c r="OXZ267" s="651"/>
      <c r="OYA267" s="691"/>
      <c r="OYB267" s="651"/>
      <c r="OYC267" s="691"/>
      <c r="OYD267" s="651"/>
      <c r="OYE267" s="691"/>
      <c r="OYF267" s="651"/>
      <c r="OYG267" s="691"/>
      <c r="OYH267" s="651"/>
      <c r="OYI267" s="691"/>
      <c r="OYJ267" s="651"/>
      <c r="OYK267" s="691"/>
      <c r="OYL267" s="651"/>
      <c r="OYM267" s="691"/>
      <c r="OYN267" s="651"/>
      <c r="OYO267" s="691"/>
      <c r="OYP267" s="651"/>
      <c r="OYQ267" s="691"/>
      <c r="OYR267" s="651"/>
      <c r="OYS267" s="691"/>
      <c r="OYT267" s="651"/>
      <c r="OYU267" s="691"/>
      <c r="OYV267" s="651"/>
      <c r="OYW267" s="691"/>
      <c r="OYX267" s="651"/>
      <c r="OYY267" s="691"/>
      <c r="OYZ267" s="651"/>
      <c r="OZA267" s="691"/>
      <c r="OZB267" s="651"/>
      <c r="OZC267" s="691"/>
      <c r="OZD267" s="651"/>
      <c r="OZE267" s="691"/>
      <c r="OZF267" s="651"/>
      <c r="OZG267" s="691"/>
      <c r="OZH267" s="651"/>
      <c r="OZI267" s="691"/>
      <c r="OZJ267" s="651"/>
      <c r="OZK267" s="691"/>
      <c r="OZL267" s="651"/>
      <c r="OZM267" s="691"/>
      <c r="OZN267" s="651"/>
      <c r="OZO267" s="691"/>
      <c r="OZP267" s="651"/>
      <c r="OZQ267" s="691"/>
      <c r="OZR267" s="651"/>
      <c r="OZS267" s="691"/>
      <c r="OZT267" s="651"/>
      <c r="OZU267" s="691"/>
      <c r="OZV267" s="651"/>
      <c r="OZW267" s="691"/>
      <c r="OZX267" s="651"/>
      <c r="OZY267" s="691"/>
      <c r="OZZ267" s="651"/>
      <c r="PAA267" s="691"/>
      <c r="PAB267" s="651"/>
      <c r="PAC267" s="691"/>
      <c r="PAD267" s="651"/>
      <c r="PAE267" s="691"/>
      <c r="PAF267" s="651"/>
      <c r="PAG267" s="691"/>
      <c r="PAH267" s="651"/>
      <c r="PAI267" s="691"/>
      <c r="PAJ267" s="651"/>
      <c r="PAK267" s="691"/>
      <c r="PAL267" s="651"/>
      <c r="PAM267" s="691"/>
      <c r="PAN267" s="651"/>
      <c r="PAO267" s="691"/>
      <c r="PAP267" s="651"/>
      <c r="PAQ267" s="691"/>
      <c r="PAR267" s="651"/>
      <c r="PAS267" s="691"/>
      <c r="PAT267" s="651"/>
      <c r="PAU267" s="691"/>
      <c r="PAV267" s="651"/>
      <c r="PAW267" s="691"/>
      <c r="PAX267" s="651"/>
      <c r="PAY267" s="691"/>
      <c r="PAZ267" s="651"/>
      <c r="PBA267" s="691"/>
      <c r="PBB267" s="651"/>
      <c r="PBC267" s="691"/>
      <c r="PBD267" s="651"/>
      <c r="PBE267" s="691"/>
      <c r="PBF267" s="651"/>
      <c r="PBG267" s="691"/>
      <c r="PBH267" s="651"/>
      <c r="PBI267" s="691"/>
      <c r="PBJ267" s="651"/>
      <c r="PBK267" s="691"/>
      <c r="PBL267" s="651"/>
      <c r="PBM267" s="691"/>
      <c r="PBN267" s="651"/>
      <c r="PBO267" s="691"/>
      <c r="PBP267" s="651"/>
      <c r="PBQ267" s="691"/>
      <c r="PBR267" s="651"/>
      <c r="PBS267" s="691"/>
      <c r="PBT267" s="651"/>
      <c r="PBU267" s="691"/>
      <c r="PBV267" s="651"/>
      <c r="PBW267" s="691"/>
      <c r="PBX267" s="651"/>
      <c r="PBY267" s="691"/>
      <c r="PBZ267" s="651"/>
      <c r="PCA267" s="691"/>
      <c r="PCB267" s="651"/>
      <c r="PCC267" s="691"/>
      <c r="PCD267" s="651"/>
      <c r="PCE267" s="691"/>
      <c r="PCF267" s="651"/>
      <c r="PCG267" s="691"/>
      <c r="PCH267" s="651"/>
      <c r="PCI267" s="691"/>
      <c r="PCJ267" s="651"/>
      <c r="PCK267" s="691"/>
      <c r="PCL267" s="651"/>
      <c r="PCM267" s="691"/>
      <c r="PCN267" s="651"/>
      <c r="PCO267" s="691"/>
      <c r="PCP267" s="651"/>
      <c r="PCQ267" s="691"/>
      <c r="PCR267" s="651"/>
      <c r="PCS267" s="691"/>
      <c r="PCT267" s="651"/>
      <c r="PCU267" s="691"/>
      <c r="PCV267" s="651"/>
      <c r="PCW267" s="691"/>
      <c r="PCX267" s="651"/>
      <c r="PCY267" s="691"/>
      <c r="PCZ267" s="651"/>
      <c r="PDA267" s="691"/>
      <c r="PDB267" s="651"/>
      <c r="PDC267" s="691"/>
      <c r="PDD267" s="651"/>
      <c r="PDE267" s="691"/>
      <c r="PDF267" s="651"/>
      <c r="PDG267" s="691"/>
      <c r="PDH267" s="651"/>
      <c r="PDI267" s="691"/>
      <c r="PDJ267" s="651"/>
      <c r="PDK267" s="691"/>
      <c r="PDL267" s="651"/>
      <c r="PDM267" s="691"/>
      <c r="PDN267" s="651"/>
      <c r="PDO267" s="691"/>
      <c r="PDP267" s="651"/>
      <c r="PDQ267" s="691"/>
      <c r="PDR267" s="651"/>
      <c r="PDS267" s="691"/>
      <c r="PDT267" s="651"/>
      <c r="PDU267" s="691"/>
      <c r="PDV267" s="651"/>
      <c r="PDW267" s="691"/>
      <c r="PDX267" s="651"/>
      <c r="PDY267" s="691"/>
      <c r="PDZ267" s="651"/>
      <c r="PEA267" s="691"/>
      <c r="PEB267" s="651"/>
      <c r="PEC267" s="691"/>
      <c r="PED267" s="651"/>
      <c r="PEE267" s="691"/>
      <c r="PEF267" s="651"/>
      <c r="PEG267" s="691"/>
      <c r="PEH267" s="651"/>
      <c r="PEI267" s="691"/>
      <c r="PEJ267" s="651"/>
      <c r="PEK267" s="691"/>
      <c r="PEL267" s="651"/>
      <c r="PEM267" s="691"/>
      <c r="PEN267" s="651"/>
      <c r="PEO267" s="691"/>
      <c r="PEP267" s="651"/>
      <c r="PEQ267" s="691"/>
      <c r="PER267" s="651"/>
      <c r="PES267" s="691"/>
      <c r="PET267" s="651"/>
      <c r="PEU267" s="691"/>
      <c r="PEV267" s="651"/>
      <c r="PEW267" s="691"/>
      <c r="PEX267" s="651"/>
      <c r="PEY267" s="691"/>
      <c r="PEZ267" s="651"/>
      <c r="PFA267" s="691"/>
      <c r="PFB267" s="651"/>
      <c r="PFC267" s="691"/>
      <c r="PFD267" s="651"/>
      <c r="PFE267" s="691"/>
      <c r="PFF267" s="651"/>
      <c r="PFG267" s="691"/>
      <c r="PFH267" s="651"/>
      <c r="PFI267" s="691"/>
      <c r="PFJ267" s="651"/>
      <c r="PFK267" s="691"/>
      <c r="PFL267" s="651"/>
      <c r="PFM267" s="691"/>
      <c r="PFN267" s="651"/>
      <c r="PFO267" s="691"/>
      <c r="PFP267" s="651"/>
      <c r="PFQ267" s="691"/>
      <c r="PFR267" s="651"/>
      <c r="PFS267" s="691"/>
      <c r="PFT267" s="651"/>
      <c r="PFU267" s="691"/>
      <c r="PFV267" s="651"/>
      <c r="PFW267" s="691"/>
      <c r="PFX267" s="651"/>
      <c r="PFY267" s="691"/>
      <c r="PFZ267" s="651"/>
      <c r="PGA267" s="691"/>
      <c r="PGB267" s="651"/>
      <c r="PGC267" s="691"/>
      <c r="PGD267" s="651"/>
      <c r="PGE267" s="691"/>
      <c r="PGF267" s="651"/>
      <c r="PGG267" s="691"/>
      <c r="PGH267" s="651"/>
      <c r="PGI267" s="691"/>
      <c r="PGJ267" s="651"/>
      <c r="PGK267" s="691"/>
      <c r="PGL267" s="651"/>
      <c r="PGM267" s="691"/>
      <c r="PGN267" s="651"/>
      <c r="PGO267" s="691"/>
      <c r="PGP267" s="651"/>
      <c r="PGQ267" s="691"/>
      <c r="PGR267" s="651"/>
      <c r="PGS267" s="691"/>
      <c r="PGT267" s="651"/>
      <c r="PGU267" s="691"/>
      <c r="PGV267" s="651"/>
      <c r="PGW267" s="691"/>
      <c r="PGX267" s="651"/>
      <c r="PGY267" s="691"/>
      <c r="PGZ267" s="651"/>
      <c r="PHA267" s="691"/>
      <c r="PHB267" s="651"/>
      <c r="PHC267" s="691"/>
      <c r="PHD267" s="651"/>
      <c r="PHE267" s="691"/>
      <c r="PHF267" s="651"/>
      <c r="PHG267" s="691"/>
      <c r="PHH267" s="651"/>
      <c r="PHI267" s="691"/>
      <c r="PHJ267" s="651"/>
      <c r="PHK267" s="691"/>
      <c r="PHL267" s="651"/>
      <c r="PHM267" s="691"/>
      <c r="PHN267" s="651"/>
      <c r="PHO267" s="691"/>
      <c r="PHP267" s="651"/>
      <c r="PHQ267" s="691"/>
      <c r="PHR267" s="651"/>
      <c r="PHS267" s="691"/>
      <c r="PHT267" s="651"/>
      <c r="PHU267" s="691"/>
      <c r="PHV267" s="651"/>
      <c r="PHW267" s="691"/>
      <c r="PHX267" s="651"/>
      <c r="PHY267" s="691"/>
      <c r="PHZ267" s="651"/>
      <c r="PIA267" s="691"/>
      <c r="PIB267" s="651"/>
      <c r="PIC267" s="691"/>
      <c r="PID267" s="651"/>
      <c r="PIE267" s="691"/>
      <c r="PIF267" s="651"/>
      <c r="PIG267" s="691"/>
      <c r="PIH267" s="651"/>
      <c r="PII267" s="691"/>
      <c r="PIJ267" s="651"/>
      <c r="PIK267" s="691"/>
      <c r="PIL267" s="651"/>
      <c r="PIM267" s="691"/>
      <c r="PIN267" s="651"/>
      <c r="PIO267" s="691"/>
      <c r="PIP267" s="651"/>
      <c r="PIQ267" s="691"/>
      <c r="PIR267" s="651"/>
      <c r="PIS267" s="691"/>
      <c r="PIT267" s="651"/>
      <c r="PIU267" s="691"/>
      <c r="PIV267" s="651"/>
      <c r="PIW267" s="691"/>
      <c r="PIX267" s="651"/>
      <c r="PIY267" s="691"/>
      <c r="PIZ267" s="651"/>
      <c r="PJA267" s="691"/>
      <c r="PJB267" s="651"/>
      <c r="PJC267" s="691"/>
      <c r="PJD267" s="651"/>
      <c r="PJE267" s="691"/>
      <c r="PJF267" s="651"/>
      <c r="PJG267" s="691"/>
      <c r="PJH267" s="651"/>
      <c r="PJI267" s="691"/>
      <c r="PJJ267" s="651"/>
      <c r="PJK267" s="691"/>
      <c r="PJL267" s="651"/>
      <c r="PJM267" s="691"/>
      <c r="PJN267" s="651"/>
      <c r="PJO267" s="691"/>
      <c r="PJP267" s="651"/>
      <c r="PJQ267" s="691"/>
      <c r="PJR267" s="651"/>
      <c r="PJS267" s="691"/>
      <c r="PJT267" s="651"/>
      <c r="PJU267" s="691"/>
      <c r="PJV267" s="651"/>
      <c r="PJW267" s="691"/>
      <c r="PJX267" s="651"/>
      <c r="PJY267" s="691"/>
      <c r="PJZ267" s="651"/>
      <c r="PKA267" s="691"/>
      <c r="PKB267" s="651"/>
      <c r="PKC267" s="691"/>
      <c r="PKD267" s="651"/>
      <c r="PKE267" s="691"/>
      <c r="PKF267" s="651"/>
      <c r="PKG267" s="691"/>
      <c r="PKH267" s="651"/>
      <c r="PKI267" s="691"/>
      <c r="PKJ267" s="651"/>
      <c r="PKK267" s="691"/>
      <c r="PKL267" s="651"/>
      <c r="PKM267" s="691"/>
      <c r="PKN267" s="651"/>
      <c r="PKO267" s="691"/>
      <c r="PKP267" s="651"/>
      <c r="PKQ267" s="691"/>
      <c r="PKR267" s="651"/>
      <c r="PKS267" s="691"/>
      <c r="PKT267" s="651"/>
      <c r="PKU267" s="691"/>
      <c r="PKV267" s="651"/>
      <c r="PKW267" s="691"/>
      <c r="PKX267" s="651"/>
      <c r="PKY267" s="691"/>
      <c r="PKZ267" s="651"/>
      <c r="PLA267" s="691"/>
      <c r="PLB267" s="651"/>
      <c r="PLC267" s="691"/>
      <c r="PLD267" s="651"/>
      <c r="PLE267" s="691"/>
      <c r="PLF267" s="651"/>
      <c r="PLG267" s="691"/>
      <c r="PLH267" s="651"/>
      <c r="PLI267" s="691"/>
      <c r="PLJ267" s="651"/>
      <c r="PLK267" s="691"/>
      <c r="PLL267" s="651"/>
      <c r="PLM267" s="691"/>
      <c r="PLN267" s="651"/>
      <c r="PLO267" s="691"/>
      <c r="PLP267" s="651"/>
      <c r="PLQ267" s="691"/>
      <c r="PLR267" s="651"/>
      <c r="PLS267" s="691"/>
      <c r="PLT267" s="651"/>
      <c r="PLU267" s="691"/>
      <c r="PLV267" s="651"/>
      <c r="PLW267" s="691"/>
      <c r="PLX267" s="651"/>
      <c r="PLY267" s="691"/>
      <c r="PLZ267" s="651"/>
      <c r="PMA267" s="691"/>
      <c r="PMB267" s="651"/>
      <c r="PMC267" s="691"/>
      <c r="PMD267" s="651"/>
      <c r="PME267" s="691"/>
      <c r="PMF267" s="651"/>
      <c r="PMG267" s="691"/>
      <c r="PMH267" s="651"/>
      <c r="PMI267" s="691"/>
      <c r="PMJ267" s="651"/>
      <c r="PMK267" s="691"/>
      <c r="PML267" s="651"/>
      <c r="PMM267" s="691"/>
      <c r="PMN267" s="651"/>
      <c r="PMO267" s="691"/>
      <c r="PMP267" s="651"/>
      <c r="PMQ267" s="691"/>
      <c r="PMR267" s="651"/>
      <c r="PMS267" s="691"/>
      <c r="PMT267" s="651"/>
      <c r="PMU267" s="691"/>
      <c r="PMV267" s="651"/>
      <c r="PMW267" s="691"/>
      <c r="PMX267" s="651"/>
      <c r="PMY267" s="691"/>
      <c r="PMZ267" s="651"/>
      <c r="PNA267" s="691"/>
      <c r="PNB267" s="651"/>
      <c r="PNC267" s="691"/>
      <c r="PND267" s="651"/>
      <c r="PNE267" s="691"/>
      <c r="PNF267" s="651"/>
      <c r="PNG267" s="691"/>
      <c r="PNH267" s="651"/>
      <c r="PNI267" s="691"/>
      <c r="PNJ267" s="651"/>
      <c r="PNK267" s="691"/>
      <c r="PNL267" s="651"/>
      <c r="PNM267" s="691"/>
      <c r="PNN267" s="651"/>
      <c r="PNO267" s="691"/>
      <c r="PNP267" s="651"/>
      <c r="PNQ267" s="691"/>
      <c r="PNR267" s="651"/>
      <c r="PNS267" s="691"/>
      <c r="PNT267" s="651"/>
      <c r="PNU267" s="691"/>
      <c r="PNV267" s="651"/>
      <c r="PNW267" s="691"/>
      <c r="PNX267" s="651"/>
      <c r="PNY267" s="691"/>
      <c r="PNZ267" s="651"/>
      <c r="POA267" s="691"/>
      <c r="POB267" s="651"/>
      <c r="POC267" s="691"/>
      <c r="POD267" s="651"/>
      <c r="POE267" s="691"/>
      <c r="POF267" s="651"/>
      <c r="POG267" s="691"/>
      <c r="POH267" s="651"/>
      <c r="POI267" s="691"/>
      <c r="POJ267" s="651"/>
      <c r="POK267" s="691"/>
      <c r="POL267" s="651"/>
      <c r="POM267" s="691"/>
      <c r="PON267" s="651"/>
      <c r="POO267" s="691"/>
      <c r="POP267" s="651"/>
      <c r="POQ267" s="691"/>
      <c r="POR267" s="651"/>
      <c r="POS267" s="691"/>
      <c r="POT267" s="651"/>
      <c r="POU267" s="691"/>
      <c r="POV267" s="651"/>
      <c r="POW267" s="691"/>
      <c r="POX267" s="651"/>
      <c r="POY267" s="691"/>
      <c r="POZ267" s="651"/>
      <c r="PPA267" s="691"/>
      <c r="PPB267" s="651"/>
      <c r="PPC267" s="691"/>
      <c r="PPD267" s="651"/>
      <c r="PPE267" s="691"/>
      <c r="PPF267" s="651"/>
      <c r="PPG267" s="691"/>
      <c r="PPH267" s="651"/>
      <c r="PPI267" s="691"/>
      <c r="PPJ267" s="651"/>
      <c r="PPK267" s="691"/>
      <c r="PPL267" s="651"/>
      <c r="PPM267" s="691"/>
      <c r="PPN267" s="651"/>
      <c r="PPO267" s="691"/>
      <c r="PPP267" s="651"/>
      <c r="PPQ267" s="691"/>
      <c r="PPR267" s="651"/>
      <c r="PPS267" s="691"/>
      <c r="PPT267" s="651"/>
      <c r="PPU267" s="691"/>
      <c r="PPV267" s="651"/>
      <c r="PPW267" s="691"/>
      <c r="PPX267" s="651"/>
      <c r="PPY267" s="691"/>
      <c r="PPZ267" s="651"/>
      <c r="PQA267" s="691"/>
      <c r="PQB267" s="651"/>
      <c r="PQC267" s="691"/>
      <c r="PQD267" s="651"/>
      <c r="PQE267" s="691"/>
      <c r="PQF267" s="651"/>
      <c r="PQG267" s="691"/>
      <c r="PQH267" s="651"/>
      <c r="PQI267" s="691"/>
      <c r="PQJ267" s="651"/>
      <c r="PQK267" s="691"/>
      <c r="PQL267" s="651"/>
      <c r="PQM267" s="691"/>
      <c r="PQN267" s="651"/>
      <c r="PQO267" s="691"/>
      <c r="PQP267" s="651"/>
      <c r="PQQ267" s="691"/>
      <c r="PQR267" s="651"/>
      <c r="PQS267" s="691"/>
      <c r="PQT267" s="651"/>
      <c r="PQU267" s="691"/>
      <c r="PQV267" s="651"/>
      <c r="PQW267" s="691"/>
      <c r="PQX267" s="651"/>
      <c r="PQY267" s="691"/>
      <c r="PQZ267" s="651"/>
      <c r="PRA267" s="691"/>
      <c r="PRB267" s="651"/>
      <c r="PRC267" s="691"/>
      <c r="PRD267" s="651"/>
      <c r="PRE267" s="691"/>
      <c r="PRF267" s="651"/>
      <c r="PRG267" s="691"/>
      <c r="PRH267" s="651"/>
      <c r="PRI267" s="691"/>
      <c r="PRJ267" s="651"/>
      <c r="PRK267" s="691"/>
      <c r="PRL267" s="651"/>
      <c r="PRM267" s="691"/>
      <c r="PRN267" s="651"/>
      <c r="PRO267" s="691"/>
      <c r="PRP267" s="651"/>
      <c r="PRQ267" s="691"/>
      <c r="PRR267" s="651"/>
      <c r="PRS267" s="691"/>
      <c r="PRT267" s="651"/>
      <c r="PRU267" s="691"/>
      <c r="PRV267" s="651"/>
      <c r="PRW267" s="691"/>
      <c r="PRX267" s="651"/>
      <c r="PRY267" s="691"/>
      <c r="PRZ267" s="651"/>
      <c r="PSA267" s="691"/>
      <c r="PSB267" s="651"/>
      <c r="PSC267" s="691"/>
      <c r="PSD267" s="651"/>
      <c r="PSE267" s="691"/>
      <c r="PSF267" s="651"/>
      <c r="PSG267" s="691"/>
      <c r="PSH267" s="651"/>
      <c r="PSI267" s="691"/>
      <c r="PSJ267" s="651"/>
      <c r="PSK267" s="691"/>
      <c r="PSL267" s="651"/>
      <c r="PSM267" s="691"/>
      <c r="PSN267" s="651"/>
      <c r="PSO267" s="691"/>
      <c r="PSP267" s="651"/>
      <c r="PSQ267" s="691"/>
      <c r="PSR267" s="651"/>
      <c r="PSS267" s="691"/>
      <c r="PST267" s="651"/>
      <c r="PSU267" s="691"/>
      <c r="PSV267" s="651"/>
      <c r="PSW267" s="691"/>
      <c r="PSX267" s="651"/>
      <c r="PSY267" s="691"/>
      <c r="PSZ267" s="651"/>
      <c r="PTA267" s="691"/>
      <c r="PTB267" s="651"/>
      <c r="PTC267" s="691"/>
      <c r="PTD267" s="651"/>
      <c r="PTE267" s="691"/>
      <c r="PTF267" s="651"/>
      <c r="PTG267" s="691"/>
      <c r="PTH267" s="651"/>
      <c r="PTI267" s="691"/>
      <c r="PTJ267" s="651"/>
      <c r="PTK267" s="691"/>
      <c r="PTL267" s="651"/>
      <c r="PTM267" s="691"/>
      <c r="PTN267" s="651"/>
      <c r="PTO267" s="691"/>
      <c r="PTP267" s="651"/>
      <c r="PTQ267" s="691"/>
      <c r="PTR267" s="651"/>
      <c r="PTS267" s="691"/>
      <c r="PTT267" s="651"/>
      <c r="PTU267" s="691"/>
      <c r="PTV267" s="651"/>
      <c r="PTW267" s="691"/>
      <c r="PTX267" s="651"/>
      <c r="PTY267" s="691"/>
      <c r="PTZ267" s="651"/>
      <c r="PUA267" s="691"/>
      <c r="PUB267" s="651"/>
      <c r="PUC267" s="691"/>
      <c r="PUD267" s="651"/>
      <c r="PUE267" s="691"/>
      <c r="PUF267" s="651"/>
      <c r="PUG267" s="691"/>
      <c r="PUH267" s="651"/>
      <c r="PUI267" s="691"/>
      <c r="PUJ267" s="651"/>
      <c r="PUK267" s="691"/>
      <c r="PUL267" s="651"/>
      <c r="PUM267" s="691"/>
      <c r="PUN267" s="651"/>
      <c r="PUO267" s="691"/>
      <c r="PUP267" s="651"/>
      <c r="PUQ267" s="691"/>
      <c r="PUR267" s="651"/>
      <c r="PUS267" s="691"/>
      <c r="PUT267" s="651"/>
      <c r="PUU267" s="691"/>
      <c r="PUV267" s="651"/>
      <c r="PUW267" s="691"/>
      <c r="PUX267" s="651"/>
      <c r="PUY267" s="691"/>
      <c r="PUZ267" s="651"/>
      <c r="PVA267" s="691"/>
      <c r="PVB267" s="651"/>
      <c r="PVC267" s="691"/>
      <c r="PVD267" s="651"/>
      <c r="PVE267" s="691"/>
      <c r="PVF267" s="651"/>
      <c r="PVG267" s="691"/>
      <c r="PVH267" s="651"/>
      <c r="PVI267" s="691"/>
      <c r="PVJ267" s="651"/>
      <c r="PVK267" s="691"/>
      <c r="PVL267" s="651"/>
      <c r="PVM267" s="691"/>
      <c r="PVN267" s="651"/>
      <c r="PVO267" s="691"/>
      <c r="PVP267" s="651"/>
      <c r="PVQ267" s="691"/>
      <c r="PVR267" s="651"/>
      <c r="PVS267" s="691"/>
      <c r="PVT267" s="651"/>
      <c r="PVU267" s="691"/>
      <c r="PVV267" s="651"/>
      <c r="PVW267" s="691"/>
      <c r="PVX267" s="651"/>
      <c r="PVY267" s="691"/>
      <c r="PVZ267" s="651"/>
      <c r="PWA267" s="691"/>
      <c r="PWB267" s="651"/>
      <c r="PWC267" s="691"/>
      <c r="PWD267" s="651"/>
      <c r="PWE267" s="691"/>
      <c r="PWF267" s="651"/>
      <c r="PWG267" s="691"/>
      <c r="PWH267" s="651"/>
      <c r="PWI267" s="691"/>
      <c r="PWJ267" s="651"/>
      <c r="PWK267" s="691"/>
      <c r="PWL267" s="651"/>
      <c r="PWM267" s="691"/>
      <c r="PWN267" s="651"/>
      <c r="PWO267" s="691"/>
      <c r="PWP267" s="651"/>
      <c r="PWQ267" s="691"/>
      <c r="PWR267" s="651"/>
      <c r="PWS267" s="691"/>
      <c r="PWT267" s="651"/>
      <c r="PWU267" s="691"/>
      <c r="PWV267" s="651"/>
      <c r="PWW267" s="691"/>
      <c r="PWX267" s="651"/>
      <c r="PWY267" s="691"/>
      <c r="PWZ267" s="651"/>
      <c r="PXA267" s="691"/>
      <c r="PXB267" s="651"/>
      <c r="PXC267" s="691"/>
      <c r="PXD267" s="651"/>
      <c r="PXE267" s="691"/>
      <c r="PXF267" s="651"/>
      <c r="PXG267" s="691"/>
      <c r="PXH267" s="651"/>
      <c r="PXI267" s="691"/>
      <c r="PXJ267" s="651"/>
      <c r="PXK267" s="691"/>
      <c r="PXL267" s="651"/>
      <c r="PXM267" s="691"/>
      <c r="PXN267" s="651"/>
      <c r="PXO267" s="691"/>
      <c r="PXP267" s="651"/>
      <c r="PXQ267" s="691"/>
      <c r="PXR267" s="651"/>
      <c r="PXS267" s="691"/>
      <c r="PXT267" s="651"/>
      <c r="PXU267" s="691"/>
      <c r="PXV267" s="651"/>
      <c r="PXW267" s="691"/>
      <c r="PXX267" s="651"/>
      <c r="PXY267" s="691"/>
      <c r="PXZ267" s="651"/>
      <c r="PYA267" s="691"/>
      <c r="PYB267" s="651"/>
      <c r="PYC267" s="691"/>
      <c r="PYD267" s="651"/>
      <c r="PYE267" s="691"/>
      <c r="PYF267" s="651"/>
      <c r="PYG267" s="691"/>
      <c r="PYH267" s="651"/>
      <c r="PYI267" s="691"/>
      <c r="PYJ267" s="651"/>
      <c r="PYK267" s="691"/>
      <c r="PYL267" s="651"/>
      <c r="PYM267" s="691"/>
      <c r="PYN267" s="651"/>
      <c r="PYO267" s="691"/>
      <c r="PYP267" s="651"/>
      <c r="PYQ267" s="691"/>
      <c r="PYR267" s="651"/>
      <c r="PYS267" s="691"/>
      <c r="PYT267" s="651"/>
      <c r="PYU267" s="691"/>
      <c r="PYV267" s="651"/>
      <c r="PYW267" s="691"/>
      <c r="PYX267" s="651"/>
      <c r="PYY267" s="691"/>
      <c r="PYZ267" s="651"/>
      <c r="PZA267" s="691"/>
      <c r="PZB267" s="651"/>
      <c r="PZC267" s="691"/>
      <c r="PZD267" s="651"/>
      <c r="PZE267" s="691"/>
      <c r="PZF267" s="651"/>
      <c r="PZG267" s="691"/>
      <c r="PZH267" s="651"/>
      <c r="PZI267" s="691"/>
      <c r="PZJ267" s="651"/>
      <c r="PZK267" s="691"/>
      <c r="PZL267" s="651"/>
      <c r="PZM267" s="691"/>
      <c r="PZN267" s="651"/>
      <c r="PZO267" s="691"/>
      <c r="PZP267" s="651"/>
      <c r="PZQ267" s="691"/>
      <c r="PZR267" s="651"/>
      <c r="PZS267" s="691"/>
      <c r="PZT267" s="651"/>
      <c r="PZU267" s="691"/>
      <c r="PZV267" s="651"/>
      <c r="PZW267" s="691"/>
      <c r="PZX267" s="651"/>
      <c r="PZY267" s="691"/>
      <c r="PZZ267" s="651"/>
      <c r="QAA267" s="691"/>
      <c r="QAB267" s="651"/>
      <c r="QAC267" s="691"/>
      <c r="QAD267" s="651"/>
      <c r="QAE267" s="691"/>
      <c r="QAF267" s="651"/>
      <c r="QAG267" s="691"/>
      <c r="QAH267" s="651"/>
      <c r="QAI267" s="691"/>
      <c r="QAJ267" s="651"/>
      <c r="QAK267" s="691"/>
      <c r="QAL267" s="651"/>
      <c r="QAM267" s="691"/>
      <c r="QAN267" s="651"/>
      <c r="QAO267" s="691"/>
      <c r="QAP267" s="651"/>
      <c r="QAQ267" s="691"/>
      <c r="QAR267" s="651"/>
      <c r="QAS267" s="691"/>
      <c r="QAT267" s="651"/>
      <c r="QAU267" s="691"/>
      <c r="QAV267" s="651"/>
      <c r="QAW267" s="691"/>
      <c r="QAX267" s="651"/>
      <c r="QAY267" s="691"/>
      <c r="QAZ267" s="651"/>
      <c r="QBA267" s="691"/>
      <c r="QBB267" s="651"/>
      <c r="QBC267" s="691"/>
      <c r="QBD267" s="651"/>
      <c r="QBE267" s="691"/>
      <c r="QBF267" s="651"/>
      <c r="QBG267" s="691"/>
      <c r="QBH267" s="651"/>
      <c r="QBI267" s="691"/>
      <c r="QBJ267" s="651"/>
      <c r="QBK267" s="691"/>
      <c r="QBL267" s="651"/>
      <c r="QBM267" s="691"/>
      <c r="QBN267" s="651"/>
      <c r="QBO267" s="691"/>
      <c r="QBP267" s="651"/>
      <c r="QBQ267" s="691"/>
      <c r="QBR267" s="651"/>
      <c r="QBS267" s="691"/>
      <c r="QBT267" s="651"/>
      <c r="QBU267" s="691"/>
      <c r="QBV267" s="651"/>
      <c r="QBW267" s="691"/>
      <c r="QBX267" s="651"/>
      <c r="QBY267" s="691"/>
      <c r="QBZ267" s="651"/>
      <c r="QCA267" s="691"/>
      <c r="QCB267" s="651"/>
      <c r="QCC267" s="691"/>
      <c r="QCD267" s="651"/>
      <c r="QCE267" s="691"/>
      <c r="QCF267" s="651"/>
      <c r="QCG267" s="691"/>
      <c r="QCH267" s="651"/>
      <c r="QCI267" s="691"/>
      <c r="QCJ267" s="651"/>
      <c r="QCK267" s="691"/>
      <c r="QCL267" s="651"/>
      <c r="QCM267" s="691"/>
      <c r="QCN267" s="651"/>
      <c r="QCO267" s="691"/>
      <c r="QCP267" s="651"/>
      <c r="QCQ267" s="691"/>
      <c r="QCR267" s="651"/>
      <c r="QCS267" s="691"/>
      <c r="QCT267" s="651"/>
      <c r="QCU267" s="691"/>
      <c r="QCV267" s="651"/>
      <c r="QCW267" s="691"/>
      <c r="QCX267" s="651"/>
      <c r="QCY267" s="691"/>
      <c r="QCZ267" s="651"/>
      <c r="QDA267" s="691"/>
      <c r="QDB267" s="651"/>
      <c r="QDC267" s="691"/>
      <c r="QDD267" s="651"/>
      <c r="QDE267" s="691"/>
      <c r="QDF267" s="651"/>
      <c r="QDG267" s="691"/>
      <c r="QDH267" s="651"/>
      <c r="QDI267" s="691"/>
      <c r="QDJ267" s="651"/>
      <c r="QDK267" s="691"/>
      <c r="QDL267" s="651"/>
      <c r="QDM267" s="691"/>
      <c r="QDN267" s="651"/>
      <c r="QDO267" s="691"/>
      <c r="QDP267" s="651"/>
      <c r="QDQ267" s="691"/>
      <c r="QDR267" s="651"/>
      <c r="QDS267" s="691"/>
      <c r="QDT267" s="651"/>
      <c r="QDU267" s="691"/>
      <c r="QDV267" s="651"/>
      <c r="QDW267" s="691"/>
      <c r="QDX267" s="651"/>
      <c r="QDY267" s="691"/>
      <c r="QDZ267" s="651"/>
      <c r="QEA267" s="691"/>
      <c r="QEB267" s="651"/>
      <c r="QEC267" s="691"/>
      <c r="QED267" s="651"/>
      <c r="QEE267" s="691"/>
      <c r="QEF267" s="651"/>
      <c r="QEG267" s="691"/>
      <c r="QEH267" s="651"/>
      <c r="QEI267" s="691"/>
      <c r="QEJ267" s="651"/>
      <c r="QEK267" s="691"/>
      <c r="QEL267" s="651"/>
      <c r="QEM267" s="691"/>
      <c r="QEN267" s="651"/>
      <c r="QEO267" s="691"/>
      <c r="QEP267" s="651"/>
      <c r="QEQ267" s="691"/>
      <c r="QER267" s="651"/>
      <c r="QES267" s="691"/>
      <c r="QET267" s="651"/>
      <c r="QEU267" s="691"/>
      <c r="QEV267" s="651"/>
      <c r="QEW267" s="691"/>
      <c r="QEX267" s="651"/>
      <c r="QEY267" s="691"/>
      <c r="QEZ267" s="651"/>
      <c r="QFA267" s="691"/>
      <c r="QFB267" s="651"/>
      <c r="QFC267" s="691"/>
      <c r="QFD267" s="651"/>
      <c r="QFE267" s="691"/>
      <c r="QFF267" s="651"/>
      <c r="QFG267" s="691"/>
      <c r="QFH267" s="651"/>
      <c r="QFI267" s="691"/>
      <c r="QFJ267" s="651"/>
      <c r="QFK267" s="691"/>
      <c r="QFL267" s="651"/>
      <c r="QFM267" s="691"/>
      <c r="QFN267" s="651"/>
      <c r="QFO267" s="691"/>
      <c r="QFP267" s="651"/>
      <c r="QFQ267" s="691"/>
      <c r="QFR267" s="651"/>
      <c r="QFS267" s="691"/>
      <c r="QFT267" s="651"/>
      <c r="QFU267" s="691"/>
      <c r="QFV267" s="651"/>
      <c r="QFW267" s="691"/>
      <c r="QFX267" s="651"/>
      <c r="QFY267" s="691"/>
      <c r="QFZ267" s="651"/>
      <c r="QGA267" s="691"/>
      <c r="QGB267" s="651"/>
      <c r="QGC267" s="691"/>
      <c r="QGD267" s="651"/>
      <c r="QGE267" s="691"/>
      <c r="QGF267" s="651"/>
      <c r="QGG267" s="691"/>
      <c r="QGH267" s="651"/>
      <c r="QGI267" s="691"/>
      <c r="QGJ267" s="651"/>
      <c r="QGK267" s="691"/>
      <c r="QGL267" s="651"/>
      <c r="QGM267" s="691"/>
      <c r="QGN267" s="651"/>
      <c r="QGO267" s="691"/>
      <c r="QGP267" s="651"/>
      <c r="QGQ267" s="691"/>
      <c r="QGR267" s="651"/>
      <c r="QGS267" s="691"/>
      <c r="QGT267" s="651"/>
      <c r="QGU267" s="691"/>
      <c r="QGV267" s="651"/>
      <c r="QGW267" s="691"/>
      <c r="QGX267" s="651"/>
      <c r="QGY267" s="691"/>
      <c r="QGZ267" s="651"/>
      <c r="QHA267" s="691"/>
      <c r="QHB267" s="651"/>
      <c r="QHC267" s="691"/>
      <c r="QHD267" s="651"/>
      <c r="QHE267" s="691"/>
      <c r="QHF267" s="651"/>
      <c r="QHG267" s="691"/>
      <c r="QHH267" s="651"/>
      <c r="QHI267" s="691"/>
      <c r="QHJ267" s="651"/>
      <c r="QHK267" s="691"/>
      <c r="QHL267" s="651"/>
      <c r="QHM267" s="691"/>
      <c r="QHN267" s="651"/>
      <c r="QHO267" s="691"/>
      <c r="QHP267" s="651"/>
      <c r="QHQ267" s="691"/>
      <c r="QHR267" s="651"/>
      <c r="QHS267" s="691"/>
      <c r="QHT267" s="651"/>
      <c r="QHU267" s="691"/>
      <c r="QHV267" s="651"/>
      <c r="QHW267" s="691"/>
      <c r="QHX267" s="651"/>
      <c r="QHY267" s="691"/>
      <c r="QHZ267" s="651"/>
      <c r="QIA267" s="691"/>
      <c r="QIB267" s="651"/>
      <c r="QIC267" s="691"/>
      <c r="QID267" s="651"/>
      <c r="QIE267" s="691"/>
      <c r="QIF267" s="651"/>
      <c r="QIG267" s="691"/>
      <c r="QIH267" s="651"/>
      <c r="QII267" s="691"/>
      <c r="QIJ267" s="651"/>
      <c r="QIK267" s="691"/>
      <c r="QIL267" s="651"/>
      <c r="QIM267" s="691"/>
      <c r="QIN267" s="651"/>
      <c r="QIO267" s="691"/>
      <c r="QIP267" s="651"/>
      <c r="QIQ267" s="691"/>
      <c r="QIR267" s="651"/>
      <c r="QIS267" s="691"/>
      <c r="QIT267" s="651"/>
      <c r="QIU267" s="691"/>
      <c r="QIV267" s="651"/>
      <c r="QIW267" s="691"/>
      <c r="QIX267" s="651"/>
      <c r="QIY267" s="691"/>
      <c r="QIZ267" s="651"/>
      <c r="QJA267" s="691"/>
      <c r="QJB267" s="651"/>
      <c r="QJC267" s="691"/>
      <c r="QJD267" s="651"/>
      <c r="QJE267" s="691"/>
      <c r="QJF267" s="651"/>
      <c r="QJG267" s="691"/>
      <c r="QJH267" s="651"/>
      <c r="QJI267" s="691"/>
      <c r="QJJ267" s="651"/>
      <c r="QJK267" s="691"/>
      <c r="QJL267" s="651"/>
      <c r="QJM267" s="691"/>
      <c r="QJN267" s="651"/>
      <c r="QJO267" s="691"/>
      <c r="QJP267" s="651"/>
      <c r="QJQ267" s="691"/>
      <c r="QJR267" s="651"/>
      <c r="QJS267" s="691"/>
      <c r="QJT267" s="651"/>
      <c r="QJU267" s="691"/>
      <c r="QJV267" s="651"/>
      <c r="QJW267" s="691"/>
      <c r="QJX267" s="651"/>
      <c r="QJY267" s="691"/>
      <c r="QJZ267" s="651"/>
      <c r="QKA267" s="691"/>
      <c r="QKB267" s="651"/>
      <c r="QKC267" s="691"/>
      <c r="QKD267" s="651"/>
      <c r="QKE267" s="691"/>
      <c r="QKF267" s="651"/>
      <c r="QKG267" s="691"/>
      <c r="QKH267" s="651"/>
      <c r="QKI267" s="691"/>
      <c r="QKJ267" s="651"/>
      <c r="QKK267" s="691"/>
      <c r="QKL267" s="651"/>
      <c r="QKM267" s="691"/>
      <c r="QKN267" s="651"/>
      <c r="QKO267" s="691"/>
      <c r="QKP267" s="651"/>
      <c r="QKQ267" s="691"/>
      <c r="QKR267" s="651"/>
      <c r="QKS267" s="691"/>
      <c r="QKT267" s="651"/>
      <c r="QKU267" s="691"/>
      <c r="QKV267" s="651"/>
      <c r="QKW267" s="691"/>
      <c r="QKX267" s="651"/>
      <c r="QKY267" s="691"/>
      <c r="QKZ267" s="651"/>
      <c r="QLA267" s="691"/>
      <c r="QLB267" s="651"/>
      <c r="QLC267" s="691"/>
      <c r="QLD267" s="651"/>
      <c r="QLE267" s="691"/>
      <c r="QLF267" s="651"/>
      <c r="QLG267" s="691"/>
      <c r="QLH267" s="651"/>
      <c r="QLI267" s="691"/>
      <c r="QLJ267" s="651"/>
      <c r="QLK267" s="691"/>
      <c r="QLL267" s="651"/>
      <c r="QLM267" s="691"/>
      <c r="QLN267" s="651"/>
      <c r="QLO267" s="691"/>
      <c r="QLP267" s="651"/>
      <c r="QLQ267" s="691"/>
      <c r="QLR267" s="651"/>
      <c r="QLS267" s="691"/>
      <c r="QLT267" s="651"/>
      <c r="QLU267" s="691"/>
      <c r="QLV267" s="651"/>
      <c r="QLW267" s="691"/>
      <c r="QLX267" s="651"/>
      <c r="QLY267" s="691"/>
      <c r="QLZ267" s="651"/>
      <c r="QMA267" s="691"/>
      <c r="QMB267" s="651"/>
      <c r="QMC267" s="691"/>
      <c r="QMD267" s="651"/>
      <c r="QME267" s="691"/>
      <c r="QMF267" s="651"/>
      <c r="QMG267" s="691"/>
      <c r="QMH267" s="651"/>
      <c r="QMI267" s="691"/>
      <c r="QMJ267" s="651"/>
      <c r="QMK267" s="691"/>
      <c r="QML267" s="651"/>
      <c r="QMM267" s="691"/>
      <c r="QMN267" s="651"/>
      <c r="QMO267" s="691"/>
      <c r="QMP267" s="651"/>
      <c r="QMQ267" s="691"/>
      <c r="QMR267" s="651"/>
      <c r="QMS267" s="691"/>
      <c r="QMT267" s="651"/>
      <c r="QMU267" s="691"/>
      <c r="QMV267" s="651"/>
      <c r="QMW267" s="691"/>
      <c r="QMX267" s="651"/>
      <c r="QMY267" s="691"/>
      <c r="QMZ267" s="651"/>
      <c r="QNA267" s="691"/>
      <c r="QNB267" s="651"/>
      <c r="QNC267" s="691"/>
      <c r="QND267" s="651"/>
      <c r="QNE267" s="691"/>
      <c r="QNF267" s="651"/>
      <c r="QNG267" s="691"/>
      <c r="QNH267" s="651"/>
      <c r="QNI267" s="691"/>
      <c r="QNJ267" s="651"/>
      <c r="QNK267" s="691"/>
      <c r="QNL267" s="651"/>
      <c r="QNM267" s="691"/>
      <c r="QNN267" s="651"/>
      <c r="QNO267" s="691"/>
      <c r="QNP267" s="651"/>
      <c r="QNQ267" s="691"/>
      <c r="QNR267" s="651"/>
      <c r="QNS267" s="691"/>
      <c r="QNT267" s="651"/>
      <c r="QNU267" s="691"/>
      <c r="QNV267" s="651"/>
      <c r="QNW267" s="691"/>
      <c r="QNX267" s="651"/>
      <c r="QNY267" s="691"/>
      <c r="QNZ267" s="651"/>
      <c r="QOA267" s="691"/>
      <c r="QOB267" s="651"/>
      <c r="QOC267" s="691"/>
      <c r="QOD267" s="651"/>
      <c r="QOE267" s="691"/>
      <c r="QOF267" s="651"/>
      <c r="QOG267" s="691"/>
      <c r="QOH267" s="651"/>
      <c r="QOI267" s="691"/>
      <c r="QOJ267" s="651"/>
      <c r="QOK267" s="691"/>
      <c r="QOL267" s="651"/>
      <c r="QOM267" s="691"/>
      <c r="QON267" s="651"/>
      <c r="QOO267" s="691"/>
      <c r="QOP267" s="651"/>
      <c r="QOQ267" s="691"/>
      <c r="QOR267" s="651"/>
      <c r="QOS267" s="691"/>
      <c r="QOT267" s="651"/>
      <c r="QOU267" s="691"/>
      <c r="QOV267" s="651"/>
      <c r="QOW267" s="691"/>
      <c r="QOX267" s="651"/>
      <c r="QOY267" s="691"/>
      <c r="QOZ267" s="651"/>
      <c r="QPA267" s="691"/>
      <c r="QPB267" s="651"/>
      <c r="QPC267" s="691"/>
      <c r="QPD267" s="651"/>
      <c r="QPE267" s="691"/>
      <c r="QPF267" s="651"/>
      <c r="QPG267" s="691"/>
      <c r="QPH267" s="651"/>
      <c r="QPI267" s="691"/>
      <c r="QPJ267" s="651"/>
      <c r="QPK267" s="691"/>
      <c r="QPL267" s="651"/>
      <c r="QPM267" s="691"/>
      <c r="QPN267" s="651"/>
      <c r="QPO267" s="691"/>
      <c r="QPP267" s="651"/>
      <c r="QPQ267" s="691"/>
      <c r="QPR267" s="651"/>
      <c r="QPS267" s="691"/>
      <c r="QPT267" s="651"/>
      <c r="QPU267" s="691"/>
      <c r="QPV267" s="651"/>
      <c r="QPW267" s="691"/>
      <c r="QPX267" s="651"/>
      <c r="QPY267" s="691"/>
      <c r="QPZ267" s="651"/>
      <c r="QQA267" s="691"/>
      <c r="QQB267" s="651"/>
      <c r="QQC267" s="691"/>
      <c r="QQD267" s="651"/>
      <c r="QQE267" s="691"/>
      <c r="QQF267" s="651"/>
      <c r="QQG267" s="691"/>
      <c r="QQH267" s="651"/>
      <c r="QQI267" s="691"/>
      <c r="QQJ267" s="651"/>
      <c r="QQK267" s="691"/>
      <c r="QQL267" s="651"/>
      <c r="QQM267" s="691"/>
      <c r="QQN267" s="651"/>
      <c r="QQO267" s="691"/>
      <c r="QQP267" s="651"/>
      <c r="QQQ267" s="691"/>
      <c r="QQR267" s="651"/>
      <c r="QQS267" s="691"/>
      <c r="QQT267" s="651"/>
      <c r="QQU267" s="691"/>
      <c r="QQV267" s="651"/>
      <c r="QQW267" s="691"/>
      <c r="QQX267" s="651"/>
      <c r="QQY267" s="691"/>
      <c r="QQZ267" s="651"/>
      <c r="QRA267" s="691"/>
      <c r="QRB267" s="651"/>
      <c r="QRC267" s="691"/>
      <c r="QRD267" s="651"/>
      <c r="QRE267" s="691"/>
      <c r="QRF267" s="651"/>
      <c r="QRG267" s="691"/>
      <c r="QRH267" s="651"/>
      <c r="QRI267" s="691"/>
      <c r="QRJ267" s="651"/>
      <c r="QRK267" s="691"/>
      <c r="QRL267" s="651"/>
      <c r="QRM267" s="691"/>
      <c r="QRN267" s="651"/>
      <c r="QRO267" s="691"/>
      <c r="QRP267" s="651"/>
      <c r="QRQ267" s="691"/>
      <c r="QRR267" s="651"/>
      <c r="QRS267" s="691"/>
      <c r="QRT267" s="651"/>
      <c r="QRU267" s="691"/>
      <c r="QRV267" s="651"/>
      <c r="QRW267" s="691"/>
      <c r="QRX267" s="651"/>
      <c r="QRY267" s="691"/>
      <c r="QRZ267" s="651"/>
      <c r="QSA267" s="691"/>
      <c r="QSB267" s="651"/>
      <c r="QSC267" s="691"/>
      <c r="QSD267" s="651"/>
      <c r="QSE267" s="691"/>
      <c r="QSF267" s="651"/>
      <c r="QSG267" s="691"/>
      <c r="QSH267" s="651"/>
      <c r="QSI267" s="691"/>
      <c r="QSJ267" s="651"/>
      <c r="QSK267" s="691"/>
      <c r="QSL267" s="651"/>
      <c r="QSM267" s="691"/>
      <c r="QSN267" s="651"/>
      <c r="QSO267" s="691"/>
      <c r="QSP267" s="651"/>
      <c r="QSQ267" s="691"/>
      <c r="QSR267" s="651"/>
      <c r="QSS267" s="691"/>
      <c r="QST267" s="651"/>
      <c r="QSU267" s="691"/>
      <c r="QSV267" s="651"/>
      <c r="QSW267" s="691"/>
      <c r="QSX267" s="651"/>
      <c r="QSY267" s="691"/>
      <c r="QSZ267" s="651"/>
      <c r="QTA267" s="691"/>
      <c r="QTB267" s="651"/>
      <c r="QTC267" s="691"/>
      <c r="QTD267" s="651"/>
      <c r="QTE267" s="691"/>
      <c r="QTF267" s="651"/>
      <c r="QTG267" s="691"/>
      <c r="QTH267" s="651"/>
      <c r="QTI267" s="691"/>
      <c r="QTJ267" s="651"/>
      <c r="QTK267" s="691"/>
      <c r="QTL267" s="651"/>
      <c r="QTM267" s="691"/>
      <c r="QTN267" s="651"/>
      <c r="QTO267" s="691"/>
      <c r="QTP267" s="651"/>
      <c r="QTQ267" s="691"/>
      <c r="QTR267" s="651"/>
      <c r="QTS267" s="691"/>
      <c r="QTT267" s="651"/>
      <c r="QTU267" s="691"/>
      <c r="QTV267" s="651"/>
      <c r="QTW267" s="691"/>
      <c r="QTX267" s="651"/>
      <c r="QTY267" s="691"/>
      <c r="QTZ267" s="651"/>
      <c r="QUA267" s="691"/>
      <c r="QUB267" s="651"/>
      <c r="QUC267" s="691"/>
      <c r="QUD267" s="651"/>
      <c r="QUE267" s="691"/>
      <c r="QUF267" s="651"/>
      <c r="QUG267" s="691"/>
      <c r="QUH267" s="651"/>
      <c r="QUI267" s="691"/>
      <c r="QUJ267" s="651"/>
      <c r="QUK267" s="691"/>
      <c r="QUL267" s="651"/>
      <c r="QUM267" s="691"/>
      <c r="QUN267" s="651"/>
      <c r="QUO267" s="691"/>
      <c r="QUP267" s="651"/>
      <c r="QUQ267" s="691"/>
      <c r="QUR267" s="651"/>
      <c r="QUS267" s="691"/>
      <c r="QUT267" s="651"/>
      <c r="QUU267" s="691"/>
      <c r="QUV267" s="651"/>
      <c r="QUW267" s="691"/>
      <c r="QUX267" s="651"/>
      <c r="QUY267" s="691"/>
      <c r="QUZ267" s="651"/>
      <c r="QVA267" s="691"/>
      <c r="QVB267" s="651"/>
      <c r="QVC267" s="691"/>
      <c r="QVD267" s="651"/>
      <c r="QVE267" s="691"/>
      <c r="QVF267" s="651"/>
      <c r="QVG267" s="691"/>
      <c r="QVH267" s="651"/>
      <c r="QVI267" s="691"/>
      <c r="QVJ267" s="651"/>
      <c r="QVK267" s="691"/>
      <c r="QVL267" s="651"/>
      <c r="QVM267" s="691"/>
      <c r="QVN267" s="651"/>
      <c r="QVO267" s="691"/>
      <c r="QVP267" s="651"/>
      <c r="QVQ267" s="691"/>
      <c r="QVR267" s="651"/>
      <c r="QVS267" s="691"/>
      <c r="QVT267" s="651"/>
      <c r="QVU267" s="691"/>
      <c r="QVV267" s="651"/>
      <c r="QVW267" s="691"/>
      <c r="QVX267" s="651"/>
      <c r="QVY267" s="691"/>
      <c r="QVZ267" s="651"/>
      <c r="QWA267" s="691"/>
      <c r="QWB267" s="651"/>
      <c r="QWC267" s="691"/>
      <c r="QWD267" s="651"/>
      <c r="QWE267" s="691"/>
      <c r="QWF267" s="651"/>
      <c r="QWG267" s="691"/>
      <c r="QWH267" s="651"/>
      <c r="QWI267" s="691"/>
      <c r="QWJ267" s="651"/>
      <c r="QWK267" s="691"/>
      <c r="QWL267" s="651"/>
      <c r="QWM267" s="691"/>
      <c r="QWN267" s="651"/>
      <c r="QWO267" s="691"/>
      <c r="QWP267" s="651"/>
      <c r="QWQ267" s="691"/>
      <c r="QWR267" s="651"/>
      <c r="QWS267" s="691"/>
      <c r="QWT267" s="651"/>
      <c r="QWU267" s="691"/>
      <c r="QWV267" s="651"/>
      <c r="QWW267" s="691"/>
      <c r="QWX267" s="651"/>
      <c r="QWY267" s="691"/>
      <c r="QWZ267" s="651"/>
      <c r="QXA267" s="691"/>
      <c r="QXB267" s="651"/>
      <c r="QXC267" s="691"/>
      <c r="QXD267" s="651"/>
      <c r="QXE267" s="691"/>
      <c r="QXF267" s="651"/>
      <c r="QXG267" s="691"/>
      <c r="QXH267" s="651"/>
      <c r="QXI267" s="691"/>
      <c r="QXJ267" s="651"/>
      <c r="QXK267" s="691"/>
      <c r="QXL267" s="651"/>
      <c r="QXM267" s="691"/>
      <c r="QXN267" s="651"/>
      <c r="QXO267" s="691"/>
      <c r="QXP267" s="651"/>
      <c r="QXQ267" s="691"/>
      <c r="QXR267" s="651"/>
      <c r="QXS267" s="691"/>
      <c r="QXT267" s="651"/>
      <c r="QXU267" s="691"/>
      <c r="QXV267" s="651"/>
      <c r="QXW267" s="691"/>
      <c r="QXX267" s="651"/>
      <c r="QXY267" s="691"/>
      <c r="QXZ267" s="651"/>
      <c r="QYA267" s="691"/>
      <c r="QYB267" s="651"/>
      <c r="QYC267" s="691"/>
      <c r="QYD267" s="651"/>
      <c r="QYE267" s="691"/>
      <c r="QYF267" s="651"/>
      <c r="QYG267" s="691"/>
      <c r="QYH267" s="651"/>
      <c r="QYI267" s="691"/>
      <c r="QYJ267" s="651"/>
      <c r="QYK267" s="691"/>
      <c r="QYL267" s="651"/>
      <c r="QYM267" s="691"/>
      <c r="QYN267" s="651"/>
      <c r="QYO267" s="691"/>
      <c r="QYP267" s="651"/>
      <c r="QYQ267" s="691"/>
      <c r="QYR267" s="651"/>
      <c r="QYS267" s="691"/>
      <c r="QYT267" s="651"/>
      <c r="QYU267" s="691"/>
      <c r="QYV267" s="651"/>
      <c r="QYW267" s="691"/>
      <c r="QYX267" s="651"/>
      <c r="QYY267" s="691"/>
      <c r="QYZ267" s="651"/>
      <c r="QZA267" s="691"/>
      <c r="QZB267" s="651"/>
      <c r="QZC267" s="691"/>
      <c r="QZD267" s="651"/>
      <c r="QZE267" s="691"/>
      <c r="QZF267" s="651"/>
      <c r="QZG267" s="691"/>
      <c r="QZH267" s="651"/>
      <c r="QZI267" s="691"/>
      <c r="QZJ267" s="651"/>
      <c r="QZK267" s="691"/>
      <c r="QZL267" s="651"/>
      <c r="QZM267" s="691"/>
      <c r="QZN267" s="651"/>
      <c r="QZO267" s="691"/>
      <c r="QZP267" s="651"/>
      <c r="QZQ267" s="691"/>
      <c r="QZR267" s="651"/>
      <c r="QZS267" s="691"/>
      <c r="QZT267" s="651"/>
      <c r="QZU267" s="691"/>
      <c r="QZV267" s="651"/>
      <c r="QZW267" s="691"/>
      <c r="QZX267" s="651"/>
      <c r="QZY267" s="691"/>
      <c r="QZZ267" s="651"/>
      <c r="RAA267" s="691"/>
      <c r="RAB267" s="651"/>
      <c r="RAC267" s="691"/>
      <c r="RAD267" s="651"/>
      <c r="RAE267" s="691"/>
      <c r="RAF267" s="651"/>
      <c r="RAG267" s="691"/>
      <c r="RAH267" s="651"/>
      <c r="RAI267" s="691"/>
      <c r="RAJ267" s="651"/>
      <c r="RAK267" s="691"/>
      <c r="RAL267" s="651"/>
      <c r="RAM267" s="691"/>
      <c r="RAN267" s="651"/>
      <c r="RAO267" s="691"/>
      <c r="RAP267" s="651"/>
      <c r="RAQ267" s="691"/>
      <c r="RAR267" s="651"/>
      <c r="RAS267" s="691"/>
      <c r="RAT267" s="651"/>
      <c r="RAU267" s="691"/>
      <c r="RAV267" s="651"/>
      <c r="RAW267" s="691"/>
      <c r="RAX267" s="651"/>
      <c r="RAY267" s="691"/>
      <c r="RAZ267" s="651"/>
      <c r="RBA267" s="691"/>
      <c r="RBB267" s="651"/>
      <c r="RBC267" s="691"/>
      <c r="RBD267" s="651"/>
      <c r="RBE267" s="691"/>
      <c r="RBF267" s="651"/>
      <c r="RBG267" s="691"/>
      <c r="RBH267" s="651"/>
      <c r="RBI267" s="691"/>
      <c r="RBJ267" s="651"/>
      <c r="RBK267" s="691"/>
      <c r="RBL267" s="651"/>
      <c r="RBM267" s="691"/>
      <c r="RBN267" s="651"/>
      <c r="RBO267" s="691"/>
      <c r="RBP267" s="651"/>
      <c r="RBQ267" s="691"/>
      <c r="RBR267" s="651"/>
      <c r="RBS267" s="691"/>
      <c r="RBT267" s="651"/>
      <c r="RBU267" s="691"/>
      <c r="RBV267" s="651"/>
      <c r="RBW267" s="691"/>
      <c r="RBX267" s="651"/>
      <c r="RBY267" s="691"/>
      <c r="RBZ267" s="651"/>
      <c r="RCA267" s="691"/>
      <c r="RCB267" s="651"/>
      <c r="RCC267" s="691"/>
      <c r="RCD267" s="651"/>
      <c r="RCE267" s="691"/>
      <c r="RCF267" s="651"/>
      <c r="RCG267" s="691"/>
      <c r="RCH267" s="651"/>
      <c r="RCI267" s="691"/>
      <c r="RCJ267" s="651"/>
      <c r="RCK267" s="691"/>
      <c r="RCL267" s="651"/>
      <c r="RCM267" s="691"/>
      <c r="RCN267" s="651"/>
      <c r="RCO267" s="691"/>
      <c r="RCP267" s="651"/>
      <c r="RCQ267" s="691"/>
      <c r="RCR267" s="651"/>
      <c r="RCS267" s="691"/>
      <c r="RCT267" s="651"/>
      <c r="RCU267" s="691"/>
      <c r="RCV267" s="651"/>
      <c r="RCW267" s="691"/>
      <c r="RCX267" s="651"/>
      <c r="RCY267" s="691"/>
      <c r="RCZ267" s="651"/>
      <c r="RDA267" s="691"/>
      <c r="RDB267" s="651"/>
      <c r="RDC267" s="691"/>
      <c r="RDD267" s="651"/>
      <c r="RDE267" s="691"/>
      <c r="RDF267" s="651"/>
      <c r="RDG267" s="691"/>
      <c r="RDH267" s="651"/>
      <c r="RDI267" s="691"/>
      <c r="RDJ267" s="651"/>
      <c r="RDK267" s="691"/>
      <c r="RDL267" s="651"/>
      <c r="RDM267" s="691"/>
      <c r="RDN267" s="651"/>
      <c r="RDO267" s="691"/>
      <c r="RDP267" s="651"/>
      <c r="RDQ267" s="691"/>
      <c r="RDR267" s="651"/>
      <c r="RDS267" s="691"/>
      <c r="RDT267" s="651"/>
      <c r="RDU267" s="691"/>
      <c r="RDV267" s="651"/>
      <c r="RDW267" s="691"/>
      <c r="RDX267" s="651"/>
      <c r="RDY267" s="691"/>
      <c r="RDZ267" s="651"/>
      <c r="REA267" s="691"/>
      <c r="REB267" s="651"/>
      <c r="REC267" s="691"/>
      <c r="RED267" s="651"/>
      <c r="REE267" s="691"/>
      <c r="REF267" s="651"/>
      <c r="REG267" s="691"/>
      <c r="REH267" s="651"/>
      <c r="REI267" s="691"/>
      <c r="REJ267" s="651"/>
      <c r="REK267" s="691"/>
      <c r="REL267" s="651"/>
      <c r="REM267" s="691"/>
      <c r="REN267" s="651"/>
      <c r="REO267" s="691"/>
      <c r="REP267" s="651"/>
      <c r="REQ267" s="691"/>
      <c r="RER267" s="651"/>
      <c r="RES267" s="691"/>
      <c r="RET267" s="651"/>
      <c r="REU267" s="691"/>
      <c r="REV267" s="651"/>
      <c r="REW267" s="691"/>
      <c r="REX267" s="651"/>
      <c r="REY267" s="691"/>
      <c r="REZ267" s="651"/>
      <c r="RFA267" s="691"/>
      <c r="RFB267" s="651"/>
      <c r="RFC267" s="691"/>
      <c r="RFD267" s="651"/>
      <c r="RFE267" s="691"/>
      <c r="RFF267" s="651"/>
      <c r="RFG267" s="691"/>
      <c r="RFH267" s="651"/>
      <c r="RFI267" s="691"/>
      <c r="RFJ267" s="651"/>
      <c r="RFK267" s="691"/>
      <c r="RFL267" s="651"/>
      <c r="RFM267" s="691"/>
      <c r="RFN267" s="651"/>
      <c r="RFO267" s="691"/>
      <c r="RFP267" s="651"/>
      <c r="RFQ267" s="691"/>
      <c r="RFR267" s="651"/>
      <c r="RFS267" s="691"/>
      <c r="RFT267" s="651"/>
      <c r="RFU267" s="691"/>
      <c r="RFV267" s="651"/>
      <c r="RFW267" s="691"/>
      <c r="RFX267" s="651"/>
      <c r="RFY267" s="691"/>
      <c r="RFZ267" s="651"/>
      <c r="RGA267" s="691"/>
      <c r="RGB267" s="651"/>
      <c r="RGC267" s="691"/>
      <c r="RGD267" s="651"/>
      <c r="RGE267" s="691"/>
      <c r="RGF267" s="651"/>
      <c r="RGG267" s="691"/>
      <c r="RGH267" s="651"/>
      <c r="RGI267" s="691"/>
      <c r="RGJ267" s="651"/>
      <c r="RGK267" s="691"/>
      <c r="RGL267" s="651"/>
      <c r="RGM267" s="691"/>
      <c r="RGN267" s="651"/>
      <c r="RGO267" s="691"/>
      <c r="RGP267" s="651"/>
      <c r="RGQ267" s="691"/>
      <c r="RGR267" s="651"/>
      <c r="RGS267" s="691"/>
      <c r="RGT267" s="651"/>
      <c r="RGU267" s="691"/>
      <c r="RGV267" s="651"/>
      <c r="RGW267" s="691"/>
      <c r="RGX267" s="651"/>
      <c r="RGY267" s="691"/>
      <c r="RGZ267" s="651"/>
      <c r="RHA267" s="691"/>
      <c r="RHB267" s="651"/>
      <c r="RHC267" s="691"/>
      <c r="RHD267" s="651"/>
      <c r="RHE267" s="691"/>
      <c r="RHF267" s="651"/>
      <c r="RHG267" s="691"/>
      <c r="RHH267" s="651"/>
      <c r="RHI267" s="691"/>
      <c r="RHJ267" s="651"/>
      <c r="RHK267" s="691"/>
      <c r="RHL267" s="651"/>
      <c r="RHM267" s="691"/>
      <c r="RHN267" s="651"/>
      <c r="RHO267" s="691"/>
      <c r="RHP267" s="651"/>
      <c r="RHQ267" s="691"/>
      <c r="RHR267" s="651"/>
      <c r="RHS267" s="691"/>
      <c r="RHT267" s="651"/>
      <c r="RHU267" s="691"/>
      <c r="RHV267" s="651"/>
      <c r="RHW267" s="691"/>
      <c r="RHX267" s="651"/>
      <c r="RHY267" s="691"/>
      <c r="RHZ267" s="651"/>
      <c r="RIA267" s="691"/>
      <c r="RIB267" s="651"/>
      <c r="RIC267" s="691"/>
      <c r="RID267" s="651"/>
      <c r="RIE267" s="691"/>
      <c r="RIF267" s="651"/>
      <c r="RIG267" s="691"/>
      <c r="RIH267" s="651"/>
      <c r="RII267" s="691"/>
      <c r="RIJ267" s="651"/>
      <c r="RIK267" s="691"/>
      <c r="RIL267" s="651"/>
      <c r="RIM267" s="691"/>
      <c r="RIN267" s="651"/>
      <c r="RIO267" s="691"/>
      <c r="RIP267" s="651"/>
      <c r="RIQ267" s="691"/>
      <c r="RIR267" s="651"/>
      <c r="RIS267" s="691"/>
      <c r="RIT267" s="651"/>
      <c r="RIU267" s="691"/>
      <c r="RIV267" s="651"/>
      <c r="RIW267" s="691"/>
      <c r="RIX267" s="651"/>
      <c r="RIY267" s="691"/>
      <c r="RIZ267" s="651"/>
      <c r="RJA267" s="691"/>
      <c r="RJB267" s="651"/>
      <c r="RJC267" s="691"/>
      <c r="RJD267" s="651"/>
      <c r="RJE267" s="691"/>
      <c r="RJF267" s="651"/>
      <c r="RJG267" s="691"/>
      <c r="RJH267" s="651"/>
      <c r="RJI267" s="691"/>
      <c r="RJJ267" s="651"/>
      <c r="RJK267" s="691"/>
      <c r="RJL267" s="651"/>
      <c r="RJM267" s="691"/>
      <c r="RJN267" s="651"/>
      <c r="RJO267" s="691"/>
      <c r="RJP267" s="651"/>
      <c r="RJQ267" s="691"/>
      <c r="RJR267" s="651"/>
      <c r="RJS267" s="691"/>
      <c r="RJT267" s="651"/>
      <c r="RJU267" s="691"/>
      <c r="RJV267" s="651"/>
      <c r="RJW267" s="691"/>
      <c r="RJX267" s="651"/>
      <c r="RJY267" s="691"/>
      <c r="RJZ267" s="651"/>
      <c r="RKA267" s="691"/>
      <c r="RKB267" s="651"/>
      <c r="RKC267" s="691"/>
      <c r="RKD267" s="651"/>
      <c r="RKE267" s="691"/>
      <c r="RKF267" s="651"/>
      <c r="RKG267" s="691"/>
      <c r="RKH267" s="651"/>
      <c r="RKI267" s="691"/>
      <c r="RKJ267" s="651"/>
      <c r="RKK267" s="691"/>
      <c r="RKL267" s="651"/>
      <c r="RKM267" s="691"/>
      <c r="RKN267" s="651"/>
      <c r="RKO267" s="691"/>
      <c r="RKP267" s="651"/>
      <c r="RKQ267" s="691"/>
      <c r="RKR267" s="651"/>
      <c r="RKS267" s="691"/>
      <c r="RKT267" s="651"/>
      <c r="RKU267" s="691"/>
      <c r="RKV267" s="651"/>
      <c r="RKW267" s="691"/>
      <c r="RKX267" s="651"/>
      <c r="RKY267" s="691"/>
      <c r="RKZ267" s="651"/>
      <c r="RLA267" s="691"/>
      <c r="RLB267" s="651"/>
      <c r="RLC267" s="691"/>
      <c r="RLD267" s="651"/>
      <c r="RLE267" s="691"/>
      <c r="RLF267" s="651"/>
      <c r="RLG267" s="691"/>
      <c r="RLH267" s="651"/>
      <c r="RLI267" s="691"/>
      <c r="RLJ267" s="651"/>
      <c r="RLK267" s="691"/>
      <c r="RLL267" s="651"/>
      <c r="RLM267" s="691"/>
      <c r="RLN267" s="651"/>
      <c r="RLO267" s="691"/>
      <c r="RLP267" s="651"/>
      <c r="RLQ267" s="691"/>
      <c r="RLR267" s="651"/>
      <c r="RLS267" s="691"/>
      <c r="RLT267" s="651"/>
      <c r="RLU267" s="691"/>
      <c r="RLV267" s="651"/>
      <c r="RLW267" s="691"/>
      <c r="RLX267" s="651"/>
      <c r="RLY267" s="691"/>
      <c r="RLZ267" s="651"/>
      <c r="RMA267" s="691"/>
      <c r="RMB267" s="651"/>
      <c r="RMC267" s="691"/>
      <c r="RMD267" s="651"/>
      <c r="RME267" s="691"/>
      <c r="RMF267" s="651"/>
      <c r="RMG267" s="691"/>
      <c r="RMH267" s="651"/>
      <c r="RMI267" s="691"/>
      <c r="RMJ267" s="651"/>
      <c r="RMK267" s="691"/>
      <c r="RML267" s="651"/>
      <c r="RMM267" s="691"/>
      <c r="RMN267" s="651"/>
      <c r="RMO267" s="691"/>
      <c r="RMP267" s="651"/>
      <c r="RMQ267" s="691"/>
      <c r="RMR267" s="651"/>
      <c r="RMS267" s="691"/>
      <c r="RMT267" s="651"/>
      <c r="RMU267" s="691"/>
      <c r="RMV267" s="651"/>
      <c r="RMW267" s="691"/>
      <c r="RMX267" s="651"/>
      <c r="RMY267" s="691"/>
      <c r="RMZ267" s="651"/>
      <c r="RNA267" s="691"/>
      <c r="RNB267" s="651"/>
      <c r="RNC267" s="691"/>
      <c r="RND267" s="651"/>
      <c r="RNE267" s="691"/>
      <c r="RNF267" s="651"/>
      <c r="RNG267" s="691"/>
      <c r="RNH267" s="651"/>
      <c r="RNI267" s="691"/>
      <c r="RNJ267" s="651"/>
      <c r="RNK267" s="691"/>
      <c r="RNL267" s="651"/>
      <c r="RNM267" s="691"/>
      <c r="RNN267" s="651"/>
      <c r="RNO267" s="691"/>
      <c r="RNP267" s="651"/>
      <c r="RNQ267" s="691"/>
      <c r="RNR267" s="651"/>
      <c r="RNS267" s="691"/>
      <c r="RNT267" s="651"/>
      <c r="RNU267" s="691"/>
      <c r="RNV267" s="651"/>
      <c r="RNW267" s="691"/>
      <c r="RNX267" s="651"/>
      <c r="RNY267" s="691"/>
      <c r="RNZ267" s="651"/>
      <c r="ROA267" s="691"/>
      <c r="ROB267" s="651"/>
      <c r="ROC267" s="691"/>
      <c r="ROD267" s="651"/>
      <c r="ROE267" s="691"/>
      <c r="ROF267" s="651"/>
      <c r="ROG267" s="691"/>
      <c r="ROH267" s="651"/>
      <c r="ROI267" s="691"/>
      <c r="ROJ267" s="651"/>
      <c r="ROK267" s="691"/>
      <c r="ROL267" s="651"/>
      <c r="ROM267" s="691"/>
      <c r="RON267" s="651"/>
      <c r="ROO267" s="691"/>
      <c r="ROP267" s="651"/>
      <c r="ROQ267" s="691"/>
      <c r="ROR267" s="651"/>
      <c r="ROS267" s="691"/>
      <c r="ROT267" s="651"/>
      <c r="ROU267" s="691"/>
      <c r="ROV267" s="651"/>
      <c r="ROW267" s="691"/>
      <c r="ROX267" s="651"/>
      <c r="ROY267" s="691"/>
      <c r="ROZ267" s="651"/>
      <c r="RPA267" s="691"/>
      <c r="RPB267" s="651"/>
      <c r="RPC267" s="691"/>
      <c r="RPD267" s="651"/>
      <c r="RPE267" s="691"/>
      <c r="RPF267" s="651"/>
      <c r="RPG267" s="691"/>
      <c r="RPH267" s="651"/>
      <c r="RPI267" s="691"/>
      <c r="RPJ267" s="651"/>
      <c r="RPK267" s="691"/>
      <c r="RPL267" s="651"/>
      <c r="RPM267" s="691"/>
      <c r="RPN267" s="651"/>
      <c r="RPO267" s="691"/>
      <c r="RPP267" s="651"/>
      <c r="RPQ267" s="691"/>
      <c r="RPR267" s="651"/>
      <c r="RPS267" s="691"/>
      <c r="RPT267" s="651"/>
      <c r="RPU267" s="691"/>
      <c r="RPV267" s="651"/>
      <c r="RPW267" s="691"/>
      <c r="RPX267" s="651"/>
      <c r="RPY267" s="691"/>
      <c r="RPZ267" s="651"/>
      <c r="RQA267" s="691"/>
      <c r="RQB267" s="651"/>
      <c r="RQC267" s="691"/>
      <c r="RQD267" s="651"/>
      <c r="RQE267" s="691"/>
      <c r="RQF267" s="651"/>
      <c r="RQG267" s="691"/>
      <c r="RQH267" s="651"/>
      <c r="RQI267" s="691"/>
      <c r="RQJ267" s="651"/>
      <c r="RQK267" s="691"/>
      <c r="RQL267" s="651"/>
      <c r="RQM267" s="691"/>
      <c r="RQN267" s="651"/>
      <c r="RQO267" s="691"/>
      <c r="RQP267" s="651"/>
      <c r="RQQ267" s="691"/>
      <c r="RQR267" s="651"/>
      <c r="RQS267" s="691"/>
      <c r="RQT267" s="651"/>
      <c r="RQU267" s="691"/>
      <c r="RQV267" s="651"/>
      <c r="RQW267" s="691"/>
      <c r="RQX267" s="651"/>
      <c r="RQY267" s="691"/>
      <c r="RQZ267" s="651"/>
      <c r="RRA267" s="691"/>
      <c r="RRB267" s="651"/>
      <c r="RRC267" s="691"/>
      <c r="RRD267" s="651"/>
      <c r="RRE267" s="691"/>
      <c r="RRF267" s="651"/>
      <c r="RRG267" s="691"/>
      <c r="RRH267" s="651"/>
      <c r="RRI267" s="691"/>
      <c r="RRJ267" s="651"/>
      <c r="RRK267" s="691"/>
      <c r="RRL267" s="651"/>
      <c r="RRM267" s="691"/>
      <c r="RRN267" s="651"/>
      <c r="RRO267" s="691"/>
      <c r="RRP267" s="651"/>
      <c r="RRQ267" s="691"/>
      <c r="RRR267" s="651"/>
      <c r="RRS267" s="691"/>
      <c r="RRT267" s="651"/>
      <c r="RRU267" s="691"/>
      <c r="RRV267" s="651"/>
      <c r="RRW267" s="691"/>
      <c r="RRX267" s="651"/>
      <c r="RRY267" s="691"/>
      <c r="RRZ267" s="651"/>
      <c r="RSA267" s="691"/>
      <c r="RSB267" s="651"/>
      <c r="RSC267" s="691"/>
      <c r="RSD267" s="651"/>
      <c r="RSE267" s="691"/>
      <c r="RSF267" s="651"/>
      <c r="RSG267" s="691"/>
      <c r="RSH267" s="651"/>
      <c r="RSI267" s="691"/>
      <c r="RSJ267" s="651"/>
      <c r="RSK267" s="691"/>
      <c r="RSL267" s="651"/>
      <c r="RSM267" s="691"/>
      <c r="RSN267" s="651"/>
      <c r="RSO267" s="691"/>
      <c r="RSP267" s="651"/>
      <c r="RSQ267" s="691"/>
      <c r="RSR267" s="651"/>
      <c r="RSS267" s="691"/>
      <c r="RST267" s="651"/>
      <c r="RSU267" s="691"/>
      <c r="RSV267" s="651"/>
      <c r="RSW267" s="691"/>
      <c r="RSX267" s="651"/>
      <c r="RSY267" s="691"/>
      <c r="RSZ267" s="651"/>
      <c r="RTA267" s="691"/>
      <c r="RTB267" s="651"/>
      <c r="RTC267" s="691"/>
      <c r="RTD267" s="651"/>
      <c r="RTE267" s="691"/>
      <c r="RTF267" s="651"/>
      <c r="RTG267" s="691"/>
      <c r="RTH267" s="651"/>
      <c r="RTI267" s="691"/>
      <c r="RTJ267" s="651"/>
      <c r="RTK267" s="691"/>
      <c r="RTL267" s="651"/>
      <c r="RTM267" s="691"/>
      <c r="RTN267" s="651"/>
      <c r="RTO267" s="691"/>
      <c r="RTP267" s="651"/>
      <c r="RTQ267" s="691"/>
      <c r="RTR267" s="651"/>
      <c r="RTS267" s="691"/>
      <c r="RTT267" s="651"/>
      <c r="RTU267" s="691"/>
      <c r="RTV267" s="651"/>
      <c r="RTW267" s="691"/>
      <c r="RTX267" s="651"/>
      <c r="RTY267" s="691"/>
      <c r="RTZ267" s="651"/>
      <c r="RUA267" s="691"/>
      <c r="RUB267" s="651"/>
      <c r="RUC267" s="691"/>
      <c r="RUD267" s="651"/>
      <c r="RUE267" s="691"/>
      <c r="RUF267" s="651"/>
      <c r="RUG267" s="691"/>
      <c r="RUH267" s="651"/>
      <c r="RUI267" s="691"/>
      <c r="RUJ267" s="651"/>
      <c r="RUK267" s="691"/>
      <c r="RUL267" s="651"/>
      <c r="RUM267" s="691"/>
      <c r="RUN267" s="651"/>
      <c r="RUO267" s="691"/>
      <c r="RUP267" s="651"/>
      <c r="RUQ267" s="691"/>
      <c r="RUR267" s="651"/>
      <c r="RUS267" s="691"/>
      <c r="RUT267" s="651"/>
      <c r="RUU267" s="691"/>
      <c r="RUV267" s="651"/>
      <c r="RUW267" s="691"/>
      <c r="RUX267" s="651"/>
      <c r="RUY267" s="691"/>
      <c r="RUZ267" s="651"/>
      <c r="RVA267" s="691"/>
      <c r="RVB267" s="651"/>
      <c r="RVC267" s="691"/>
      <c r="RVD267" s="651"/>
      <c r="RVE267" s="691"/>
      <c r="RVF267" s="651"/>
      <c r="RVG267" s="691"/>
      <c r="RVH267" s="651"/>
      <c r="RVI267" s="691"/>
      <c r="RVJ267" s="651"/>
      <c r="RVK267" s="691"/>
      <c r="RVL267" s="651"/>
      <c r="RVM267" s="691"/>
      <c r="RVN267" s="651"/>
      <c r="RVO267" s="691"/>
      <c r="RVP267" s="651"/>
      <c r="RVQ267" s="691"/>
      <c r="RVR267" s="651"/>
      <c r="RVS267" s="691"/>
      <c r="RVT267" s="651"/>
      <c r="RVU267" s="691"/>
      <c r="RVV267" s="651"/>
      <c r="RVW267" s="691"/>
      <c r="RVX267" s="651"/>
      <c r="RVY267" s="691"/>
      <c r="RVZ267" s="651"/>
      <c r="RWA267" s="691"/>
      <c r="RWB267" s="651"/>
      <c r="RWC267" s="691"/>
      <c r="RWD267" s="651"/>
      <c r="RWE267" s="691"/>
      <c r="RWF267" s="651"/>
      <c r="RWG267" s="691"/>
      <c r="RWH267" s="651"/>
      <c r="RWI267" s="691"/>
      <c r="RWJ267" s="651"/>
      <c r="RWK267" s="691"/>
      <c r="RWL267" s="651"/>
      <c r="RWM267" s="691"/>
      <c r="RWN267" s="651"/>
      <c r="RWO267" s="691"/>
      <c r="RWP267" s="651"/>
      <c r="RWQ267" s="691"/>
      <c r="RWR267" s="651"/>
      <c r="RWS267" s="691"/>
      <c r="RWT267" s="651"/>
      <c r="RWU267" s="691"/>
      <c r="RWV267" s="651"/>
      <c r="RWW267" s="691"/>
      <c r="RWX267" s="651"/>
      <c r="RWY267" s="691"/>
      <c r="RWZ267" s="651"/>
      <c r="RXA267" s="691"/>
      <c r="RXB267" s="651"/>
      <c r="RXC267" s="691"/>
      <c r="RXD267" s="651"/>
      <c r="RXE267" s="691"/>
      <c r="RXF267" s="651"/>
      <c r="RXG267" s="691"/>
      <c r="RXH267" s="651"/>
      <c r="RXI267" s="691"/>
      <c r="RXJ267" s="651"/>
      <c r="RXK267" s="691"/>
      <c r="RXL267" s="651"/>
      <c r="RXM267" s="691"/>
      <c r="RXN267" s="651"/>
      <c r="RXO267" s="691"/>
      <c r="RXP267" s="651"/>
      <c r="RXQ267" s="691"/>
      <c r="RXR267" s="651"/>
      <c r="RXS267" s="691"/>
      <c r="RXT267" s="651"/>
      <c r="RXU267" s="691"/>
      <c r="RXV267" s="651"/>
      <c r="RXW267" s="691"/>
      <c r="RXX267" s="651"/>
      <c r="RXY267" s="691"/>
      <c r="RXZ267" s="651"/>
      <c r="RYA267" s="691"/>
      <c r="RYB267" s="651"/>
      <c r="RYC267" s="691"/>
      <c r="RYD267" s="651"/>
      <c r="RYE267" s="691"/>
      <c r="RYF267" s="651"/>
      <c r="RYG267" s="691"/>
      <c r="RYH267" s="651"/>
      <c r="RYI267" s="691"/>
      <c r="RYJ267" s="651"/>
      <c r="RYK267" s="691"/>
      <c r="RYL267" s="651"/>
      <c r="RYM267" s="691"/>
      <c r="RYN267" s="651"/>
      <c r="RYO267" s="691"/>
      <c r="RYP267" s="651"/>
      <c r="RYQ267" s="691"/>
      <c r="RYR267" s="651"/>
      <c r="RYS267" s="691"/>
      <c r="RYT267" s="651"/>
      <c r="RYU267" s="691"/>
      <c r="RYV267" s="651"/>
      <c r="RYW267" s="691"/>
      <c r="RYX267" s="651"/>
      <c r="RYY267" s="691"/>
      <c r="RYZ267" s="651"/>
      <c r="RZA267" s="691"/>
      <c r="RZB267" s="651"/>
      <c r="RZC267" s="691"/>
      <c r="RZD267" s="651"/>
      <c r="RZE267" s="691"/>
      <c r="RZF267" s="651"/>
      <c r="RZG267" s="691"/>
      <c r="RZH267" s="651"/>
      <c r="RZI267" s="691"/>
      <c r="RZJ267" s="651"/>
      <c r="RZK267" s="691"/>
      <c r="RZL267" s="651"/>
      <c r="RZM267" s="691"/>
      <c r="RZN267" s="651"/>
      <c r="RZO267" s="691"/>
      <c r="RZP267" s="651"/>
      <c r="RZQ267" s="691"/>
      <c r="RZR267" s="651"/>
      <c r="RZS267" s="691"/>
      <c r="RZT267" s="651"/>
      <c r="RZU267" s="691"/>
      <c r="RZV267" s="651"/>
      <c r="RZW267" s="691"/>
      <c r="RZX267" s="651"/>
      <c r="RZY267" s="691"/>
      <c r="RZZ267" s="651"/>
      <c r="SAA267" s="691"/>
      <c r="SAB267" s="651"/>
      <c r="SAC267" s="691"/>
      <c r="SAD267" s="651"/>
      <c r="SAE267" s="691"/>
      <c r="SAF267" s="651"/>
      <c r="SAG267" s="691"/>
      <c r="SAH267" s="651"/>
      <c r="SAI267" s="691"/>
      <c r="SAJ267" s="651"/>
      <c r="SAK267" s="691"/>
      <c r="SAL267" s="651"/>
      <c r="SAM267" s="691"/>
      <c r="SAN267" s="651"/>
      <c r="SAO267" s="691"/>
      <c r="SAP267" s="651"/>
      <c r="SAQ267" s="691"/>
      <c r="SAR267" s="651"/>
      <c r="SAS267" s="691"/>
      <c r="SAT267" s="651"/>
      <c r="SAU267" s="691"/>
      <c r="SAV267" s="651"/>
      <c r="SAW267" s="691"/>
      <c r="SAX267" s="651"/>
      <c r="SAY267" s="691"/>
      <c r="SAZ267" s="651"/>
      <c r="SBA267" s="691"/>
      <c r="SBB267" s="651"/>
      <c r="SBC267" s="691"/>
      <c r="SBD267" s="651"/>
      <c r="SBE267" s="691"/>
      <c r="SBF267" s="651"/>
      <c r="SBG267" s="691"/>
      <c r="SBH267" s="651"/>
      <c r="SBI267" s="691"/>
      <c r="SBJ267" s="651"/>
      <c r="SBK267" s="691"/>
      <c r="SBL267" s="651"/>
      <c r="SBM267" s="691"/>
      <c r="SBN267" s="651"/>
      <c r="SBO267" s="691"/>
      <c r="SBP267" s="651"/>
      <c r="SBQ267" s="691"/>
      <c r="SBR267" s="651"/>
      <c r="SBS267" s="691"/>
      <c r="SBT267" s="651"/>
      <c r="SBU267" s="691"/>
      <c r="SBV267" s="651"/>
      <c r="SBW267" s="691"/>
      <c r="SBX267" s="651"/>
      <c r="SBY267" s="691"/>
      <c r="SBZ267" s="651"/>
      <c r="SCA267" s="691"/>
      <c r="SCB267" s="651"/>
      <c r="SCC267" s="691"/>
      <c r="SCD267" s="651"/>
      <c r="SCE267" s="691"/>
      <c r="SCF267" s="651"/>
      <c r="SCG267" s="691"/>
      <c r="SCH267" s="651"/>
      <c r="SCI267" s="691"/>
      <c r="SCJ267" s="651"/>
      <c r="SCK267" s="691"/>
      <c r="SCL267" s="651"/>
      <c r="SCM267" s="691"/>
      <c r="SCN267" s="651"/>
      <c r="SCO267" s="691"/>
      <c r="SCP267" s="651"/>
      <c r="SCQ267" s="691"/>
      <c r="SCR267" s="651"/>
      <c r="SCS267" s="691"/>
      <c r="SCT267" s="651"/>
      <c r="SCU267" s="691"/>
      <c r="SCV267" s="651"/>
      <c r="SCW267" s="691"/>
      <c r="SCX267" s="651"/>
      <c r="SCY267" s="691"/>
      <c r="SCZ267" s="651"/>
      <c r="SDA267" s="691"/>
      <c r="SDB267" s="651"/>
      <c r="SDC267" s="691"/>
      <c r="SDD267" s="651"/>
      <c r="SDE267" s="691"/>
      <c r="SDF267" s="651"/>
      <c r="SDG267" s="691"/>
      <c r="SDH267" s="651"/>
      <c r="SDI267" s="691"/>
      <c r="SDJ267" s="651"/>
      <c r="SDK267" s="691"/>
      <c r="SDL267" s="651"/>
      <c r="SDM267" s="691"/>
      <c r="SDN267" s="651"/>
      <c r="SDO267" s="691"/>
      <c r="SDP267" s="651"/>
      <c r="SDQ267" s="691"/>
      <c r="SDR267" s="651"/>
      <c r="SDS267" s="691"/>
      <c r="SDT267" s="651"/>
      <c r="SDU267" s="691"/>
      <c r="SDV267" s="651"/>
      <c r="SDW267" s="691"/>
      <c r="SDX267" s="651"/>
      <c r="SDY267" s="691"/>
      <c r="SDZ267" s="651"/>
      <c r="SEA267" s="691"/>
      <c r="SEB267" s="651"/>
      <c r="SEC267" s="691"/>
      <c r="SED267" s="651"/>
      <c r="SEE267" s="691"/>
      <c r="SEF267" s="651"/>
      <c r="SEG267" s="691"/>
      <c r="SEH267" s="651"/>
      <c r="SEI267" s="691"/>
      <c r="SEJ267" s="651"/>
      <c r="SEK267" s="691"/>
      <c r="SEL267" s="651"/>
      <c r="SEM267" s="691"/>
      <c r="SEN267" s="651"/>
      <c r="SEO267" s="691"/>
      <c r="SEP267" s="651"/>
      <c r="SEQ267" s="691"/>
      <c r="SER267" s="651"/>
      <c r="SES267" s="691"/>
      <c r="SET267" s="651"/>
      <c r="SEU267" s="691"/>
      <c r="SEV267" s="651"/>
      <c r="SEW267" s="691"/>
      <c r="SEX267" s="651"/>
      <c r="SEY267" s="691"/>
      <c r="SEZ267" s="651"/>
      <c r="SFA267" s="691"/>
      <c r="SFB267" s="651"/>
      <c r="SFC267" s="691"/>
      <c r="SFD267" s="651"/>
      <c r="SFE267" s="691"/>
      <c r="SFF267" s="651"/>
      <c r="SFG267" s="691"/>
      <c r="SFH267" s="651"/>
      <c r="SFI267" s="691"/>
      <c r="SFJ267" s="651"/>
      <c r="SFK267" s="691"/>
      <c r="SFL267" s="651"/>
      <c r="SFM267" s="691"/>
      <c r="SFN267" s="651"/>
      <c r="SFO267" s="691"/>
      <c r="SFP267" s="651"/>
      <c r="SFQ267" s="691"/>
      <c r="SFR267" s="651"/>
      <c r="SFS267" s="691"/>
      <c r="SFT267" s="651"/>
      <c r="SFU267" s="691"/>
      <c r="SFV267" s="651"/>
      <c r="SFW267" s="691"/>
      <c r="SFX267" s="651"/>
      <c r="SFY267" s="691"/>
      <c r="SFZ267" s="651"/>
      <c r="SGA267" s="691"/>
      <c r="SGB267" s="651"/>
      <c r="SGC267" s="691"/>
      <c r="SGD267" s="651"/>
      <c r="SGE267" s="691"/>
      <c r="SGF267" s="651"/>
      <c r="SGG267" s="691"/>
      <c r="SGH267" s="651"/>
      <c r="SGI267" s="691"/>
      <c r="SGJ267" s="651"/>
      <c r="SGK267" s="691"/>
      <c r="SGL267" s="651"/>
      <c r="SGM267" s="691"/>
      <c r="SGN267" s="651"/>
      <c r="SGO267" s="691"/>
      <c r="SGP267" s="651"/>
      <c r="SGQ267" s="691"/>
      <c r="SGR267" s="651"/>
      <c r="SGS267" s="691"/>
      <c r="SGT267" s="651"/>
      <c r="SGU267" s="691"/>
      <c r="SGV267" s="651"/>
      <c r="SGW267" s="691"/>
      <c r="SGX267" s="651"/>
      <c r="SGY267" s="691"/>
      <c r="SGZ267" s="651"/>
      <c r="SHA267" s="691"/>
      <c r="SHB267" s="651"/>
      <c r="SHC267" s="691"/>
      <c r="SHD267" s="651"/>
      <c r="SHE267" s="691"/>
      <c r="SHF267" s="651"/>
      <c r="SHG267" s="691"/>
      <c r="SHH267" s="651"/>
      <c r="SHI267" s="691"/>
      <c r="SHJ267" s="651"/>
      <c r="SHK267" s="691"/>
      <c r="SHL267" s="651"/>
      <c r="SHM267" s="691"/>
      <c r="SHN267" s="651"/>
      <c r="SHO267" s="691"/>
      <c r="SHP267" s="651"/>
      <c r="SHQ267" s="691"/>
      <c r="SHR267" s="651"/>
      <c r="SHS267" s="691"/>
      <c r="SHT267" s="651"/>
      <c r="SHU267" s="691"/>
      <c r="SHV267" s="651"/>
      <c r="SHW267" s="691"/>
      <c r="SHX267" s="651"/>
      <c r="SHY267" s="691"/>
      <c r="SHZ267" s="651"/>
      <c r="SIA267" s="691"/>
      <c r="SIB267" s="651"/>
      <c r="SIC267" s="691"/>
      <c r="SID267" s="651"/>
      <c r="SIE267" s="691"/>
      <c r="SIF267" s="651"/>
      <c r="SIG267" s="691"/>
      <c r="SIH267" s="651"/>
      <c r="SII267" s="691"/>
      <c r="SIJ267" s="651"/>
      <c r="SIK267" s="691"/>
      <c r="SIL267" s="651"/>
      <c r="SIM267" s="691"/>
      <c r="SIN267" s="651"/>
      <c r="SIO267" s="691"/>
      <c r="SIP267" s="651"/>
      <c r="SIQ267" s="691"/>
      <c r="SIR267" s="651"/>
      <c r="SIS267" s="691"/>
      <c r="SIT267" s="651"/>
      <c r="SIU267" s="691"/>
      <c r="SIV267" s="651"/>
      <c r="SIW267" s="691"/>
      <c r="SIX267" s="651"/>
      <c r="SIY267" s="691"/>
      <c r="SIZ267" s="651"/>
      <c r="SJA267" s="691"/>
      <c r="SJB267" s="651"/>
      <c r="SJC267" s="691"/>
      <c r="SJD267" s="651"/>
      <c r="SJE267" s="691"/>
      <c r="SJF267" s="651"/>
      <c r="SJG267" s="691"/>
      <c r="SJH267" s="651"/>
      <c r="SJI267" s="691"/>
      <c r="SJJ267" s="651"/>
      <c r="SJK267" s="691"/>
      <c r="SJL267" s="651"/>
      <c r="SJM267" s="691"/>
      <c r="SJN267" s="651"/>
      <c r="SJO267" s="691"/>
      <c r="SJP267" s="651"/>
      <c r="SJQ267" s="691"/>
      <c r="SJR267" s="651"/>
      <c r="SJS267" s="691"/>
      <c r="SJT267" s="651"/>
      <c r="SJU267" s="691"/>
      <c r="SJV267" s="651"/>
      <c r="SJW267" s="691"/>
      <c r="SJX267" s="651"/>
      <c r="SJY267" s="691"/>
      <c r="SJZ267" s="651"/>
      <c r="SKA267" s="691"/>
      <c r="SKB267" s="651"/>
      <c r="SKC267" s="691"/>
      <c r="SKD267" s="651"/>
      <c r="SKE267" s="691"/>
      <c r="SKF267" s="651"/>
      <c r="SKG267" s="691"/>
      <c r="SKH267" s="651"/>
      <c r="SKI267" s="691"/>
      <c r="SKJ267" s="651"/>
      <c r="SKK267" s="691"/>
      <c r="SKL267" s="651"/>
      <c r="SKM267" s="691"/>
      <c r="SKN267" s="651"/>
      <c r="SKO267" s="691"/>
      <c r="SKP267" s="651"/>
      <c r="SKQ267" s="691"/>
      <c r="SKR267" s="651"/>
      <c r="SKS267" s="691"/>
      <c r="SKT267" s="651"/>
      <c r="SKU267" s="691"/>
      <c r="SKV267" s="651"/>
      <c r="SKW267" s="691"/>
      <c r="SKX267" s="651"/>
      <c r="SKY267" s="691"/>
      <c r="SKZ267" s="651"/>
      <c r="SLA267" s="691"/>
      <c r="SLB267" s="651"/>
      <c r="SLC267" s="691"/>
      <c r="SLD267" s="651"/>
      <c r="SLE267" s="691"/>
      <c r="SLF267" s="651"/>
      <c r="SLG267" s="691"/>
      <c r="SLH267" s="651"/>
      <c r="SLI267" s="691"/>
      <c r="SLJ267" s="651"/>
      <c r="SLK267" s="691"/>
      <c r="SLL267" s="651"/>
      <c r="SLM267" s="691"/>
      <c r="SLN267" s="651"/>
      <c r="SLO267" s="691"/>
      <c r="SLP267" s="651"/>
      <c r="SLQ267" s="691"/>
      <c r="SLR267" s="651"/>
      <c r="SLS267" s="691"/>
      <c r="SLT267" s="651"/>
      <c r="SLU267" s="691"/>
      <c r="SLV267" s="651"/>
      <c r="SLW267" s="691"/>
      <c r="SLX267" s="651"/>
      <c r="SLY267" s="691"/>
      <c r="SLZ267" s="651"/>
      <c r="SMA267" s="691"/>
      <c r="SMB267" s="651"/>
      <c r="SMC267" s="691"/>
      <c r="SMD267" s="651"/>
      <c r="SME267" s="691"/>
      <c r="SMF267" s="651"/>
      <c r="SMG267" s="691"/>
      <c r="SMH267" s="651"/>
      <c r="SMI267" s="691"/>
      <c r="SMJ267" s="651"/>
      <c r="SMK267" s="691"/>
      <c r="SML267" s="651"/>
      <c r="SMM267" s="691"/>
      <c r="SMN267" s="651"/>
      <c r="SMO267" s="691"/>
      <c r="SMP267" s="651"/>
      <c r="SMQ267" s="691"/>
      <c r="SMR267" s="651"/>
      <c r="SMS267" s="691"/>
      <c r="SMT267" s="651"/>
      <c r="SMU267" s="691"/>
      <c r="SMV267" s="651"/>
      <c r="SMW267" s="691"/>
      <c r="SMX267" s="651"/>
      <c r="SMY267" s="691"/>
      <c r="SMZ267" s="651"/>
      <c r="SNA267" s="691"/>
      <c r="SNB267" s="651"/>
      <c r="SNC267" s="691"/>
      <c r="SND267" s="651"/>
      <c r="SNE267" s="691"/>
      <c r="SNF267" s="651"/>
      <c r="SNG267" s="691"/>
      <c r="SNH267" s="651"/>
      <c r="SNI267" s="691"/>
      <c r="SNJ267" s="651"/>
      <c r="SNK267" s="691"/>
      <c r="SNL267" s="651"/>
      <c r="SNM267" s="691"/>
      <c r="SNN267" s="651"/>
      <c r="SNO267" s="691"/>
      <c r="SNP267" s="651"/>
      <c r="SNQ267" s="691"/>
      <c r="SNR267" s="651"/>
      <c r="SNS267" s="691"/>
      <c r="SNT267" s="651"/>
      <c r="SNU267" s="691"/>
      <c r="SNV267" s="651"/>
      <c r="SNW267" s="691"/>
      <c r="SNX267" s="651"/>
      <c r="SNY267" s="691"/>
      <c r="SNZ267" s="651"/>
      <c r="SOA267" s="691"/>
      <c r="SOB267" s="651"/>
      <c r="SOC267" s="691"/>
      <c r="SOD267" s="651"/>
      <c r="SOE267" s="691"/>
      <c r="SOF267" s="651"/>
      <c r="SOG267" s="691"/>
      <c r="SOH267" s="651"/>
      <c r="SOI267" s="691"/>
      <c r="SOJ267" s="651"/>
      <c r="SOK267" s="691"/>
      <c r="SOL267" s="651"/>
      <c r="SOM267" s="691"/>
      <c r="SON267" s="651"/>
      <c r="SOO267" s="691"/>
      <c r="SOP267" s="651"/>
      <c r="SOQ267" s="691"/>
      <c r="SOR267" s="651"/>
      <c r="SOS267" s="691"/>
      <c r="SOT267" s="651"/>
      <c r="SOU267" s="691"/>
      <c r="SOV267" s="651"/>
      <c r="SOW267" s="691"/>
      <c r="SOX267" s="651"/>
      <c r="SOY267" s="691"/>
      <c r="SOZ267" s="651"/>
      <c r="SPA267" s="691"/>
      <c r="SPB267" s="651"/>
      <c r="SPC267" s="691"/>
      <c r="SPD267" s="651"/>
      <c r="SPE267" s="691"/>
      <c r="SPF267" s="651"/>
      <c r="SPG267" s="691"/>
      <c r="SPH267" s="651"/>
      <c r="SPI267" s="691"/>
      <c r="SPJ267" s="651"/>
      <c r="SPK267" s="691"/>
      <c r="SPL267" s="651"/>
      <c r="SPM267" s="691"/>
      <c r="SPN267" s="651"/>
      <c r="SPO267" s="691"/>
      <c r="SPP267" s="651"/>
      <c r="SPQ267" s="691"/>
      <c r="SPR267" s="651"/>
      <c r="SPS267" s="691"/>
      <c r="SPT267" s="651"/>
      <c r="SPU267" s="691"/>
      <c r="SPV267" s="651"/>
      <c r="SPW267" s="691"/>
      <c r="SPX267" s="651"/>
      <c r="SPY267" s="691"/>
      <c r="SPZ267" s="651"/>
      <c r="SQA267" s="691"/>
      <c r="SQB267" s="651"/>
      <c r="SQC267" s="691"/>
      <c r="SQD267" s="651"/>
      <c r="SQE267" s="691"/>
      <c r="SQF267" s="651"/>
      <c r="SQG267" s="691"/>
      <c r="SQH267" s="651"/>
      <c r="SQI267" s="691"/>
      <c r="SQJ267" s="651"/>
      <c r="SQK267" s="691"/>
      <c r="SQL267" s="651"/>
      <c r="SQM267" s="691"/>
      <c r="SQN267" s="651"/>
      <c r="SQO267" s="691"/>
      <c r="SQP267" s="651"/>
      <c r="SQQ267" s="691"/>
      <c r="SQR267" s="651"/>
      <c r="SQS267" s="691"/>
      <c r="SQT267" s="651"/>
      <c r="SQU267" s="691"/>
      <c r="SQV267" s="651"/>
      <c r="SQW267" s="691"/>
      <c r="SQX267" s="651"/>
      <c r="SQY267" s="691"/>
      <c r="SQZ267" s="651"/>
      <c r="SRA267" s="691"/>
      <c r="SRB267" s="651"/>
      <c r="SRC267" s="691"/>
      <c r="SRD267" s="651"/>
      <c r="SRE267" s="691"/>
      <c r="SRF267" s="651"/>
      <c r="SRG267" s="691"/>
      <c r="SRH267" s="651"/>
      <c r="SRI267" s="691"/>
      <c r="SRJ267" s="651"/>
      <c r="SRK267" s="691"/>
      <c r="SRL267" s="651"/>
      <c r="SRM267" s="691"/>
      <c r="SRN267" s="651"/>
      <c r="SRO267" s="691"/>
      <c r="SRP267" s="651"/>
      <c r="SRQ267" s="691"/>
      <c r="SRR267" s="651"/>
      <c r="SRS267" s="691"/>
      <c r="SRT267" s="651"/>
      <c r="SRU267" s="691"/>
      <c r="SRV267" s="651"/>
      <c r="SRW267" s="691"/>
      <c r="SRX267" s="651"/>
      <c r="SRY267" s="691"/>
      <c r="SRZ267" s="651"/>
      <c r="SSA267" s="691"/>
      <c r="SSB267" s="651"/>
      <c r="SSC267" s="691"/>
      <c r="SSD267" s="651"/>
      <c r="SSE267" s="691"/>
      <c r="SSF267" s="651"/>
      <c r="SSG267" s="691"/>
      <c r="SSH267" s="651"/>
      <c r="SSI267" s="691"/>
      <c r="SSJ267" s="651"/>
      <c r="SSK267" s="691"/>
      <c r="SSL267" s="651"/>
      <c r="SSM267" s="691"/>
      <c r="SSN267" s="651"/>
      <c r="SSO267" s="691"/>
      <c r="SSP267" s="651"/>
      <c r="SSQ267" s="691"/>
      <c r="SSR267" s="651"/>
      <c r="SSS267" s="691"/>
      <c r="SST267" s="651"/>
      <c r="SSU267" s="691"/>
      <c r="SSV267" s="651"/>
      <c r="SSW267" s="691"/>
      <c r="SSX267" s="651"/>
      <c r="SSY267" s="691"/>
      <c r="SSZ267" s="651"/>
      <c r="STA267" s="691"/>
      <c r="STB267" s="651"/>
      <c r="STC267" s="691"/>
      <c r="STD267" s="651"/>
      <c r="STE267" s="691"/>
      <c r="STF267" s="651"/>
      <c r="STG267" s="691"/>
      <c r="STH267" s="651"/>
      <c r="STI267" s="691"/>
      <c r="STJ267" s="651"/>
      <c r="STK267" s="691"/>
      <c r="STL267" s="651"/>
      <c r="STM267" s="691"/>
      <c r="STN267" s="651"/>
      <c r="STO267" s="691"/>
      <c r="STP267" s="651"/>
      <c r="STQ267" s="691"/>
      <c r="STR267" s="651"/>
      <c r="STS267" s="691"/>
      <c r="STT267" s="651"/>
      <c r="STU267" s="691"/>
      <c r="STV267" s="651"/>
      <c r="STW267" s="691"/>
      <c r="STX267" s="651"/>
      <c r="STY267" s="691"/>
      <c r="STZ267" s="651"/>
      <c r="SUA267" s="691"/>
      <c r="SUB267" s="651"/>
      <c r="SUC267" s="691"/>
      <c r="SUD267" s="651"/>
      <c r="SUE267" s="691"/>
      <c r="SUF267" s="651"/>
      <c r="SUG267" s="691"/>
      <c r="SUH267" s="651"/>
      <c r="SUI267" s="691"/>
      <c r="SUJ267" s="651"/>
      <c r="SUK267" s="691"/>
      <c r="SUL267" s="651"/>
      <c r="SUM267" s="691"/>
      <c r="SUN267" s="651"/>
      <c r="SUO267" s="691"/>
      <c r="SUP267" s="651"/>
      <c r="SUQ267" s="691"/>
      <c r="SUR267" s="651"/>
      <c r="SUS267" s="691"/>
      <c r="SUT267" s="651"/>
      <c r="SUU267" s="691"/>
      <c r="SUV267" s="651"/>
      <c r="SUW267" s="691"/>
      <c r="SUX267" s="651"/>
      <c r="SUY267" s="691"/>
      <c r="SUZ267" s="651"/>
      <c r="SVA267" s="691"/>
      <c r="SVB267" s="651"/>
      <c r="SVC267" s="691"/>
      <c r="SVD267" s="651"/>
      <c r="SVE267" s="691"/>
      <c r="SVF267" s="651"/>
      <c r="SVG267" s="691"/>
      <c r="SVH267" s="651"/>
      <c r="SVI267" s="691"/>
      <c r="SVJ267" s="651"/>
      <c r="SVK267" s="691"/>
      <c r="SVL267" s="651"/>
      <c r="SVM267" s="691"/>
      <c r="SVN267" s="651"/>
      <c r="SVO267" s="691"/>
      <c r="SVP267" s="651"/>
      <c r="SVQ267" s="691"/>
      <c r="SVR267" s="651"/>
      <c r="SVS267" s="691"/>
      <c r="SVT267" s="651"/>
      <c r="SVU267" s="691"/>
      <c r="SVV267" s="651"/>
      <c r="SVW267" s="691"/>
      <c r="SVX267" s="651"/>
      <c r="SVY267" s="691"/>
      <c r="SVZ267" s="651"/>
      <c r="SWA267" s="691"/>
      <c r="SWB267" s="651"/>
      <c r="SWC267" s="691"/>
      <c r="SWD267" s="651"/>
      <c r="SWE267" s="691"/>
      <c r="SWF267" s="651"/>
      <c r="SWG267" s="691"/>
      <c r="SWH267" s="651"/>
      <c r="SWI267" s="691"/>
      <c r="SWJ267" s="651"/>
      <c r="SWK267" s="691"/>
      <c r="SWL267" s="651"/>
      <c r="SWM267" s="691"/>
      <c r="SWN267" s="651"/>
      <c r="SWO267" s="691"/>
      <c r="SWP267" s="651"/>
      <c r="SWQ267" s="691"/>
      <c r="SWR267" s="651"/>
      <c r="SWS267" s="691"/>
      <c r="SWT267" s="651"/>
      <c r="SWU267" s="691"/>
      <c r="SWV267" s="651"/>
      <c r="SWW267" s="691"/>
      <c r="SWX267" s="651"/>
      <c r="SWY267" s="691"/>
      <c r="SWZ267" s="651"/>
      <c r="SXA267" s="691"/>
      <c r="SXB267" s="651"/>
      <c r="SXC267" s="691"/>
      <c r="SXD267" s="651"/>
      <c r="SXE267" s="691"/>
      <c r="SXF267" s="651"/>
      <c r="SXG267" s="691"/>
      <c r="SXH267" s="651"/>
      <c r="SXI267" s="691"/>
      <c r="SXJ267" s="651"/>
      <c r="SXK267" s="691"/>
      <c r="SXL267" s="651"/>
      <c r="SXM267" s="691"/>
      <c r="SXN267" s="651"/>
      <c r="SXO267" s="691"/>
      <c r="SXP267" s="651"/>
      <c r="SXQ267" s="691"/>
      <c r="SXR267" s="651"/>
      <c r="SXS267" s="691"/>
      <c r="SXT267" s="651"/>
      <c r="SXU267" s="691"/>
      <c r="SXV267" s="651"/>
      <c r="SXW267" s="691"/>
      <c r="SXX267" s="651"/>
      <c r="SXY267" s="691"/>
      <c r="SXZ267" s="651"/>
      <c r="SYA267" s="691"/>
      <c r="SYB267" s="651"/>
      <c r="SYC267" s="691"/>
      <c r="SYD267" s="651"/>
      <c r="SYE267" s="691"/>
      <c r="SYF267" s="651"/>
      <c r="SYG267" s="691"/>
      <c r="SYH267" s="651"/>
      <c r="SYI267" s="691"/>
      <c r="SYJ267" s="651"/>
      <c r="SYK267" s="691"/>
      <c r="SYL267" s="651"/>
      <c r="SYM267" s="691"/>
      <c r="SYN267" s="651"/>
      <c r="SYO267" s="691"/>
      <c r="SYP267" s="651"/>
      <c r="SYQ267" s="691"/>
      <c r="SYR267" s="651"/>
      <c r="SYS267" s="691"/>
      <c r="SYT267" s="651"/>
      <c r="SYU267" s="691"/>
      <c r="SYV267" s="651"/>
      <c r="SYW267" s="691"/>
      <c r="SYX267" s="651"/>
      <c r="SYY267" s="691"/>
      <c r="SYZ267" s="651"/>
      <c r="SZA267" s="691"/>
      <c r="SZB267" s="651"/>
      <c r="SZC267" s="691"/>
      <c r="SZD267" s="651"/>
      <c r="SZE267" s="691"/>
      <c r="SZF267" s="651"/>
      <c r="SZG267" s="691"/>
      <c r="SZH267" s="651"/>
      <c r="SZI267" s="691"/>
      <c r="SZJ267" s="651"/>
      <c r="SZK267" s="691"/>
      <c r="SZL267" s="651"/>
      <c r="SZM267" s="691"/>
      <c r="SZN267" s="651"/>
      <c r="SZO267" s="691"/>
      <c r="SZP267" s="651"/>
      <c r="SZQ267" s="691"/>
      <c r="SZR267" s="651"/>
      <c r="SZS267" s="691"/>
      <c r="SZT267" s="651"/>
      <c r="SZU267" s="691"/>
      <c r="SZV267" s="651"/>
      <c r="SZW267" s="691"/>
      <c r="SZX267" s="651"/>
      <c r="SZY267" s="691"/>
      <c r="SZZ267" s="651"/>
      <c r="TAA267" s="691"/>
      <c r="TAB267" s="651"/>
      <c r="TAC267" s="691"/>
      <c r="TAD267" s="651"/>
      <c r="TAE267" s="691"/>
      <c r="TAF267" s="651"/>
      <c r="TAG267" s="691"/>
      <c r="TAH267" s="651"/>
      <c r="TAI267" s="691"/>
      <c r="TAJ267" s="651"/>
      <c r="TAK267" s="691"/>
      <c r="TAL267" s="651"/>
      <c r="TAM267" s="691"/>
      <c r="TAN267" s="651"/>
      <c r="TAO267" s="691"/>
      <c r="TAP267" s="651"/>
      <c r="TAQ267" s="691"/>
      <c r="TAR267" s="651"/>
      <c r="TAS267" s="691"/>
      <c r="TAT267" s="651"/>
      <c r="TAU267" s="691"/>
      <c r="TAV267" s="651"/>
      <c r="TAW267" s="691"/>
      <c r="TAX267" s="651"/>
      <c r="TAY267" s="691"/>
      <c r="TAZ267" s="651"/>
      <c r="TBA267" s="691"/>
      <c r="TBB267" s="651"/>
      <c r="TBC267" s="691"/>
      <c r="TBD267" s="651"/>
      <c r="TBE267" s="691"/>
      <c r="TBF267" s="651"/>
      <c r="TBG267" s="691"/>
      <c r="TBH267" s="651"/>
      <c r="TBI267" s="691"/>
      <c r="TBJ267" s="651"/>
      <c r="TBK267" s="691"/>
      <c r="TBL267" s="651"/>
      <c r="TBM267" s="691"/>
      <c r="TBN267" s="651"/>
      <c r="TBO267" s="691"/>
      <c r="TBP267" s="651"/>
      <c r="TBQ267" s="691"/>
      <c r="TBR267" s="651"/>
      <c r="TBS267" s="691"/>
      <c r="TBT267" s="651"/>
      <c r="TBU267" s="691"/>
      <c r="TBV267" s="651"/>
      <c r="TBW267" s="691"/>
      <c r="TBX267" s="651"/>
      <c r="TBY267" s="691"/>
      <c r="TBZ267" s="651"/>
      <c r="TCA267" s="691"/>
      <c r="TCB267" s="651"/>
      <c r="TCC267" s="691"/>
      <c r="TCD267" s="651"/>
      <c r="TCE267" s="691"/>
      <c r="TCF267" s="651"/>
      <c r="TCG267" s="691"/>
      <c r="TCH267" s="651"/>
      <c r="TCI267" s="691"/>
      <c r="TCJ267" s="651"/>
      <c r="TCK267" s="691"/>
      <c r="TCL267" s="651"/>
      <c r="TCM267" s="691"/>
      <c r="TCN267" s="651"/>
      <c r="TCO267" s="691"/>
      <c r="TCP267" s="651"/>
      <c r="TCQ267" s="691"/>
      <c r="TCR267" s="651"/>
      <c r="TCS267" s="691"/>
      <c r="TCT267" s="651"/>
      <c r="TCU267" s="691"/>
      <c r="TCV267" s="651"/>
      <c r="TCW267" s="691"/>
      <c r="TCX267" s="651"/>
      <c r="TCY267" s="691"/>
      <c r="TCZ267" s="651"/>
      <c r="TDA267" s="691"/>
      <c r="TDB267" s="651"/>
      <c r="TDC267" s="691"/>
      <c r="TDD267" s="651"/>
      <c r="TDE267" s="691"/>
      <c r="TDF267" s="651"/>
      <c r="TDG267" s="691"/>
      <c r="TDH267" s="651"/>
      <c r="TDI267" s="691"/>
      <c r="TDJ267" s="651"/>
      <c r="TDK267" s="691"/>
      <c r="TDL267" s="651"/>
      <c r="TDM267" s="691"/>
      <c r="TDN267" s="651"/>
      <c r="TDO267" s="691"/>
      <c r="TDP267" s="651"/>
      <c r="TDQ267" s="691"/>
      <c r="TDR267" s="651"/>
      <c r="TDS267" s="691"/>
      <c r="TDT267" s="651"/>
      <c r="TDU267" s="691"/>
      <c r="TDV267" s="651"/>
      <c r="TDW267" s="691"/>
      <c r="TDX267" s="651"/>
      <c r="TDY267" s="691"/>
      <c r="TDZ267" s="651"/>
      <c r="TEA267" s="691"/>
      <c r="TEB267" s="651"/>
      <c r="TEC267" s="691"/>
      <c r="TED267" s="651"/>
      <c r="TEE267" s="691"/>
      <c r="TEF267" s="651"/>
      <c r="TEG267" s="691"/>
      <c r="TEH267" s="651"/>
      <c r="TEI267" s="691"/>
      <c r="TEJ267" s="651"/>
      <c r="TEK267" s="691"/>
      <c r="TEL267" s="651"/>
      <c r="TEM267" s="691"/>
      <c r="TEN267" s="651"/>
      <c r="TEO267" s="691"/>
      <c r="TEP267" s="651"/>
      <c r="TEQ267" s="691"/>
      <c r="TER267" s="651"/>
      <c r="TES267" s="691"/>
      <c r="TET267" s="651"/>
      <c r="TEU267" s="691"/>
      <c r="TEV267" s="651"/>
      <c r="TEW267" s="691"/>
      <c r="TEX267" s="651"/>
      <c r="TEY267" s="691"/>
      <c r="TEZ267" s="651"/>
      <c r="TFA267" s="691"/>
      <c r="TFB267" s="651"/>
      <c r="TFC267" s="691"/>
      <c r="TFD267" s="651"/>
      <c r="TFE267" s="691"/>
      <c r="TFF267" s="651"/>
      <c r="TFG267" s="691"/>
      <c r="TFH267" s="651"/>
      <c r="TFI267" s="691"/>
      <c r="TFJ267" s="651"/>
      <c r="TFK267" s="691"/>
      <c r="TFL267" s="651"/>
      <c r="TFM267" s="691"/>
      <c r="TFN267" s="651"/>
      <c r="TFO267" s="691"/>
      <c r="TFP267" s="651"/>
      <c r="TFQ267" s="691"/>
      <c r="TFR267" s="651"/>
      <c r="TFS267" s="691"/>
      <c r="TFT267" s="651"/>
      <c r="TFU267" s="691"/>
      <c r="TFV267" s="651"/>
      <c r="TFW267" s="691"/>
      <c r="TFX267" s="651"/>
      <c r="TFY267" s="691"/>
      <c r="TFZ267" s="651"/>
      <c r="TGA267" s="691"/>
      <c r="TGB267" s="651"/>
      <c r="TGC267" s="691"/>
      <c r="TGD267" s="651"/>
      <c r="TGE267" s="691"/>
      <c r="TGF267" s="651"/>
      <c r="TGG267" s="691"/>
      <c r="TGH267" s="651"/>
      <c r="TGI267" s="691"/>
      <c r="TGJ267" s="651"/>
      <c r="TGK267" s="691"/>
      <c r="TGL267" s="651"/>
      <c r="TGM267" s="691"/>
      <c r="TGN267" s="651"/>
      <c r="TGO267" s="691"/>
      <c r="TGP267" s="651"/>
      <c r="TGQ267" s="691"/>
      <c r="TGR267" s="651"/>
      <c r="TGS267" s="691"/>
      <c r="TGT267" s="651"/>
      <c r="TGU267" s="691"/>
      <c r="TGV267" s="651"/>
      <c r="TGW267" s="691"/>
      <c r="TGX267" s="651"/>
      <c r="TGY267" s="691"/>
      <c r="TGZ267" s="651"/>
      <c r="THA267" s="691"/>
      <c r="THB267" s="651"/>
      <c r="THC267" s="691"/>
      <c r="THD267" s="651"/>
      <c r="THE267" s="691"/>
      <c r="THF267" s="651"/>
      <c r="THG267" s="691"/>
      <c r="THH267" s="651"/>
      <c r="THI267" s="691"/>
      <c r="THJ267" s="651"/>
      <c r="THK267" s="691"/>
      <c r="THL267" s="651"/>
      <c r="THM267" s="691"/>
      <c r="THN267" s="651"/>
      <c r="THO267" s="691"/>
      <c r="THP267" s="651"/>
      <c r="THQ267" s="691"/>
      <c r="THR267" s="651"/>
      <c r="THS267" s="691"/>
      <c r="THT267" s="651"/>
      <c r="THU267" s="691"/>
      <c r="THV267" s="651"/>
      <c r="THW267" s="691"/>
      <c r="THX267" s="651"/>
      <c r="THY267" s="691"/>
      <c r="THZ267" s="651"/>
      <c r="TIA267" s="691"/>
      <c r="TIB267" s="651"/>
      <c r="TIC267" s="691"/>
      <c r="TID267" s="651"/>
      <c r="TIE267" s="691"/>
      <c r="TIF267" s="651"/>
      <c r="TIG267" s="691"/>
      <c r="TIH267" s="651"/>
      <c r="TII267" s="691"/>
      <c r="TIJ267" s="651"/>
      <c r="TIK267" s="691"/>
      <c r="TIL267" s="651"/>
      <c r="TIM267" s="691"/>
      <c r="TIN267" s="651"/>
      <c r="TIO267" s="691"/>
      <c r="TIP267" s="651"/>
      <c r="TIQ267" s="691"/>
      <c r="TIR267" s="651"/>
      <c r="TIS267" s="691"/>
      <c r="TIT267" s="651"/>
      <c r="TIU267" s="691"/>
      <c r="TIV267" s="651"/>
      <c r="TIW267" s="691"/>
      <c r="TIX267" s="651"/>
      <c r="TIY267" s="691"/>
      <c r="TIZ267" s="651"/>
      <c r="TJA267" s="691"/>
      <c r="TJB267" s="651"/>
      <c r="TJC267" s="691"/>
      <c r="TJD267" s="651"/>
      <c r="TJE267" s="691"/>
      <c r="TJF267" s="651"/>
      <c r="TJG267" s="691"/>
      <c r="TJH267" s="651"/>
      <c r="TJI267" s="691"/>
      <c r="TJJ267" s="651"/>
      <c r="TJK267" s="691"/>
      <c r="TJL267" s="651"/>
      <c r="TJM267" s="691"/>
      <c r="TJN267" s="651"/>
      <c r="TJO267" s="691"/>
      <c r="TJP267" s="651"/>
      <c r="TJQ267" s="691"/>
      <c r="TJR267" s="651"/>
      <c r="TJS267" s="691"/>
      <c r="TJT267" s="651"/>
      <c r="TJU267" s="691"/>
      <c r="TJV267" s="651"/>
      <c r="TJW267" s="691"/>
      <c r="TJX267" s="651"/>
      <c r="TJY267" s="691"/>
      <c r="TJZ267" s="651"/>
      <c r="TKA267" s="691"/>
      <c r="TKB267" s="651"/>
      <c r="TKC267" s="691"/>
      <c r="TKD267" s="651"/>
      <c r="TKE267" s="691"/>
      <c r="TKF267" s="651"/>
      <c r="TKG267" s="691"/>
      <c r="TKH267" s="651"/>
      <c r="TKI267" s="691"/>
      <c r="TKJ267" s="651"/>
      <c r="TKK267" s="691"/>
      <c r="TKL267" s="651"/>
      <c r="TKM267" s="691"/>
      <c r="TKN267" s="651"/>
      <c r="TKO267" s="691"/>
      <c r="TKP267" s="651"/>
      <c r="TKQ267" s="691"/>
      <c r="TKR267" s="651"/>
      <c r="TKS267" s="691"/>
      <c r="TKT267" s="651"/>
      <c r="TKU267" s="691"/>
      <c r="TKV267" s="651"/>
      <c r="TKW267" s="691"/>
      <c r="TKX267" s="651"/>
      <c r="TKY267" s="691"/>
      <c r="TKZ267" s="651"/>
      <c r="TLA267" s="691"/>
      <c r="TLB267" s="651"/>
      <c r="TLC267" s="691"/>
      <c r="TLD267" s="651"/>
      <c r="TLE267" s="691"/>
      <c r="TLF267" s="651"/>
      <c r="TLG267" s="691"/>
      <c r="TLH267" s="651"/>
      <c r="TLI267" s="691"/>
      <c r="TLJ267" s="651"/>
      <c r="TLK267" s="691"/>
      <c r="TLL267" s="651"/>
      <c r="TLM267" s="691"/>
      <c r="TLN267" s="651"/>
      <c r="TLO267" s="691"/>
      <c r="TLP267" s="651"/>
      <c r="TLQ267" s="691"/>
      <c r="TLR267" s="651"/>
      <c r="TLS267" s="691"/>
      <c r="TLT267" s="651"/>
      <c r="TLU267" s="691"/>
      <c r="TLV267" s="651"/>
      <c r="TLW267" s="691"/>
      <c r="TLX267" s="651"/>
      <c r="TLY267" s="691"/>
      <c r="TLZ267" s="651"/>
      <c r="TMA267" s="691"/>
      <c r="TMB267" s="651"/>
      <c r="TMC267" s="691"/>
      <c r="TMD267" s="651"/>
      <c r="TME267" s="691"/>
      <c r="TMF267" s="651"/>
      <c r="TMG267" s="691"/>
      <c r="TMH267" s="651"/>
      <c r="TMI267" s="691"/>
      <c r="TMJ267" s="651"/>
      <c r="TMK267" s="691"/>
      <c r="TML267" s="651"/>
      <c r="TMM267" s="691"/>
      <c r="TMN267" s="651"/>
      <c r="TMO267" s="691"/>
      <c r="TMP267" s="651"/>
      <c r="TMQ267" s="691"/>
      <c r="TMR267" s="651"/>
      <c r="TMS267" s="691"/>
      <c r="TMT267" s="651"/>
      <c r="TMU267" s="691"/>
      <c r="TMV267" s="651"/>
      <c r="TMW267" s="691"/>
      <c r="TMX267" s="651"/>
      <c r="TMY267" s="691"/>
      <c r="TMZ267" s="651"/>
      <c r="TNA267" s="691"/>
      <c r="TNB267" s="651"/>
      <c r="TNC267" s="691"/>
      <c r="TND267" s="651"/>
      <c r="TNE267" s="691"/>
      <c r="TNF267" s="651"/>
      <c r="TNG267" s="691"/>
      <c r="TNH267" s="651"/>
      <c r="TNI267" s="691"/>
      <c r="TNJ267" s="651"/>
      <c r="TNK267" s="691"/>
      <c r="TNL267" s="651"/>
      <c r="TNM267" s="691"/>
      <c r="TNN267" s="651"/>
      <c r="TNO267" s="691"/>
      <c r="TNP267" s="651"/>
      <c r="TNQ267" s="691"/>
      <c r="TNR267" s="651"/>
      <c r="TNS267" s="691"/>
      <c r="TNT267" s="651"/>
      <c r="TNU267" s="691"/>
      <c r="TNV267" s="651"/>
      <c r="TNW267" s="691"/>
      <c r="TNX267" s="651"/>
      <c r="TNY267" s="691"/>
      <c r="TNZ267" s="651"/>
      <c r="TOA267" s="691"/>
      <c r="TOB267" s="651"/>
      <c r="TOC267" s="691"/>
      <c r="TOD267" s="651"/>
      <c r="TOE267" s="691"/>
      <c r="TOF267" s="651"/>
      <c r="TOG267" s="691"/>
      <c r="TOH267" s="651"/>
      <c r="TOI267" s="691"/>
      <c r="TOJ267" s="651"/>
      <c r="TOK267" s="691"/>
      <c r="TOL267" s="651"/>
      <c r="TOM267" s="691"/>
      <c r="TON267" s="651"/>
      <c r="TOO267" s="691"/>
      <c r="TOP267" s="651"/>
      <c r="TOQ267" s="691"/>
      <c r="TOR267" s="651"/>
      <c r="TOS267" s="691"/>
      <c r="TOT267" s="651"/>
      <c r="TOU267" s="691"/>
      <c r="TOV267" s="651"/>
      <c r="TOW267" s="691"/>
      <c r="TOX267" s="651"/>
      <c r="TOY267" s="691"/>
      <c r="TOZ267" s="651"/>
      <c r="TPA267" s="691"/>
      <c r="TPB267" s="651"/>
      <c r="TPC267" s="691"/>
      <c r="TPD267" s="651"/>
      <c r="TPE267" s="691"/>
      <c r="TPF267" s="651"/>
      <c r="TPG267" s="691"/>
      <c r="TPH267" s="651"/>
      <c r="TPI267" s="691"/>
      <c r="TPJ267" s="651"/>
      <c r="TPK267" s="691"/>
      <c r="TPL267" s="651"/>
      <c r="TPM267" s="691"/>
      <c r="TPN267" s="651"/>
      <c r="TPO267" s="691"/>
      <c r="TPP267" s="651"/>
      <c r="TPQ267" s="691"/>
      <c r="TPR267" s="651"/>
      <c r="TPS267" s="691"/>
      <c r="TPT267" s="651"/>
      <c r="TPU267" s="691"/>
      <c r="TPV267" s="651"/>
      <c r="TPW267" s="691"/>
      <c r="TPX267" s="651"/>
      <c r="TPY267" s="691"/>
      <c r="TPZ267" s="651"/>
      <c r="TQA267" s="691"/>
      <c r="TQB267" s="651"/>
      <c r="TQC267" s="691"/>
      <c r="TQD267" s="651"/>
      <c r="TQE267" s="691"/>
      <c r="TQF267" s="651"/>
      <c r="TQG267" s="691"/>
      <c r="TQH267" s="651"/>
      <c r="TQI267" s="691"/>
      <c r="TQJ267" s="651"/>
      <c r="TQK267" s="691"/>
      <c r="TQL267" s="651"/>
      <c r="TQM267" s="691"/>
      <c r="TQN267" s="651"/>
      <c r="TQO267" s="691"/>
      <c r="TQP267" s="651"/>
      <c r="TQQ267" s="691"/>
      <c r="TQR267" s="651"/>
      <c r="TQS267" s="691"/>
      <c r="TQT267" s="651"/>
      <c r="TQU267" s="691"/>
      <c r="TQV267" s="651"/>
      <c r="TQW267" s="691"/>
      <c r="TQX267" s="651"/>
      <c r="TQY267" s="691"/>
      <c r="TQZ267" s="651"/>
      <c r="TRA267" s="691"/>
      <c r="TRB267" s="651"/>
      <c r="TRC267" s="691"/>
      <c r="TRD267" s="651"/>
      <c r="TRE267" s="691"/>
      <c r="TRF267" s="651"/>
      <c r="TRG267" s="691"/>
      <c r="TRH267" s="651"/>
      <c r="TRI267" s="691"/>
      <c r="TRJ267" s="651"/>
      <c r="TRK267" s="691"/>
      <c r="TRL267" s="651"/>
      <c r="TRM267" s="691"/>
      <c r="TRN267" s="651"/>
      <c r="TRO267" s="691"/>
      <c r="TRP267" s="651"/>
      <c r="TRQ267" s="691"/>
      <c r="TRR267" s="651"/>
      <c r="TRS267" s="691"/>
      <c r="TRT267" s="651"/>
      <c r="TRU267" s="691"/>
      <c r="TRV267" s="651"/>
      <c r="TRW267" s="691"/>
      <c r="TRX267" s="651"/>
      <c r="TRY267" s="691"/>
      <c r="TRZ267" s="651"/>
      <c r="TSA267" s="691"/>
      <c r="TSB267" s="651"/>
      <c r="TSC267" s="691"/>
      <c r="TSD267" s="651"/>
      <c r="TSE267" s="691"/>
      <c r="TSF267" s="651"/>
      <c r="TSG267" s="691"/>
      <c r="TSH267" s="651"/>
      <c r="TSI267" s="691"/>
      <c r="TSJ267" s="651"/>
      <c r="TSK267" s="691"/>
      <c r="TSL267" s="651"/>
      <c r="TSM267" s="691"/>
      <c r="TSN267" s="651"/>
      <c r="TSO267" s="691"/>
      <c r="TSP267" s="651"/>
      <c r="TSQ267" s="691"/>
      <c r="TSR267" s="651"/>
      <c r="TSS267" s="691"/>
      <c r="TST267" s="651"/>
      <c r="TSU267" s="691"/>
      <c r="TSV267" s="651"/>
      <c r="TSW267" s="691"/>
      <c r="TSX267" s="651"/>
      <c r="TSY267" s="691"/>
      <c r="TSZ267" s="651"/>
      <c r="TTA267" s="691"/>
      <c r="TTB267" s="651"/>
      <c r="TTC267" s="691"/>
      <c r="TTD267" s="651"/>
      <c r="TTE267" s="691"/>
      <c r="TTF267" s="651"/>
      <c r="TTG267" s="691"/>
      <c r="TTH267" s="651"/>
      <c r="TTI267" s="691"/>
      <c r="TTJ267" s="651"/>
      <c r="TTK267" s="691"/>
      <c r="TTL267" s="651"/>
      <c r="TTM267" s="691"/>
      <c r="TTN267" s="651"/>
      <c r="TTO267" s="691"/>
      <c r="TTP267" s="651"/>
      <c r="TTQ267" s="691"/>
      <c r="TTR267" s="651"/>
      <c r="TTS267" s="691"/>
      <c r="TTT267" s="651"/>
      <c r="TTU267" s="691"/>
      <c r="TTV267" s="651"/>
      <c r="TTW267" s="691"/>
      <c r="TTX267" s="651"/>
      <c r="TTY267" s="691"/>
      <c r="TTZ267" s="651"/>
      <c r="TUA267" s="691"/>
      <c r="TUB267" s="651"/>
      <c r="TUC267" s="691"/>
      <c r="TUD267" s="651"/>
      <c r="TUE267" s="691"/>
      <c r="TUF267" s="651"/>
      <c r="TUG267" s="691"/>
      <c r="TUH267" s="651"/>
      <c r="TUI267" s="691"/>
      <c r="TUJ267" s="651"/>
      <c r="TUK267" s="691"/>
      <c r="TUL267" s="651"/>
      <c r="TUM267" s="691"/>
      <c r="TUN267" s="651"/>
      <c r="TUO267" s="691"/>
      <c r="TUP267" s="651"/>
      <c r="TUQ267" s="691"/>
      <c r="TUR267" s="651"/>
      <c r="TUS267" s="691"/>
      <c r="TUT267" s="651"/>
      <c r="TUU267" s="691"/>
      <c r="TUV267" s="651"/>
      <c r="TUW267" s="691"/>
      <c r="TUX267" s="651"/>
      <c r="TUY267" s="691"/>
      <c r="TUZ267" s="651"/>
      <c r="TVA267" s="691"/>
      <c r="TVB267" s="651"/>
      <c r="TVC267" s="691"/>
      <c r="TVD267" s="651"/>
      <c r="TVE267" s="691"/>
      <c r="TVF267" s="651"/>
      <c r="TVG267" s="691"/>
      <c r="TVH267" s="651"/>
      <c r="TVI267" s="691"/>
      <c r="TVJ267" s="651"/>
      <c r="TVK267" s="691"/>
      <c r="TVL267" s="651"/>
      <c r="TVM267" s="691"/>
      <c r="TVN267" s="651"/>
      <c r="TVO267" s="691"/>
      <c r="TVP267" s="651"/>
      <c r="TVQ267" s="691"/>
      <c r="TVR267" s="651"/>
      <c r="TVS267" s="691"/>
      <c r="TVT267" s="651"/>
      <c r="TVU267" s="691"/>
      <c r="TVV267" s="651"/>
      <c r="TVW267" s="691"/>
      <c r="TVX267" s="651"/>
      <c r="TVY267" s="691"/>
      <c r="TVZ267" s="651"/>
      <c r="TWA267" s="691"/>
      <c r="TWB267" s="651"/>
      <c r="TWC267" s="691"/>
      <c r="TWD267" s="651"/>
      <c r="TWE267" s="691"/>
      <c r="TWF267" s="651"/>
      <c r="TWG267" s="691"/>
      <c r="TWH267" s="651"/>
      <c r="TWI267" s="691"/>
      <c r="TWJ267" s="651"/>
      <c r="TWK267" s="691"/>
      <c r="TWL267" s="651"/>
      <c r="TWM267" s="691"/>
      <c r="TWN267" s="651"/>
      <c r="TWO267" s="691"/>
      <c r="TWP267" s="651"/>
      <c r="TWQ267" s="691"/>
      <c r="TWR267" s="651"/>
      <c r="TWS267" s="691"/>
      <c r="TWT267" s="651"/>
      <c r="TWU267" s="691"/>
      <c r="TWV267" s="651"/>
      <c r="TWW267" s="691"/>
      <c r="TWX267" s="651"/>
      <c r="TWY267" s="691"/>
      <c r="TWZ267" s="651"/>
      <c r="TXA267" s="691"/>
      <c r="TXB267" s="651"/>
      <c r="TXC267" s="691"/>
      <c r="TXD267" s="651"/>
      <c r="TXE267" s="691"/>
      <c r="TXF267" s="651"/>
      <c r="TXG267" s="691"/>
      <c r="TXH267" s="651"/>
      <c r="TXI267" s="691"/>
      <c r="TXJ267" s="651"/>
      <c r="TXK267" s="691"/>
      <c r="TXL267" s="651"/>
      <c r="TXM267" s="691"/>
      <c r="TXN267" s="651"/>
      <c r="TXO267" s="691"/>
      <c r="TXP267" s="651"/>
      <c r="TXQ267" s="691"/>
      <c r="TXR267" s="651"/>
      <c r="TXS267" s="691"/>
      <c r="TXT267" s="651"/>
      <c r="TXU267" s="691"/>
      <c r="TXV267" s="651"/>
      <c r="TXW267" s="691"/>
      <c r="TXX267" s="651"/>
      <c r="TXY267" s="691"/>
      <c r="TXZ267" s="651"/>
      <c r="TYA267" s="691"/>
      <c r="TYB267" s="651"/>
      <c r="TYC267" s="691"/>
      <c r="TYD267" s="651"/>
      <c r="TYE267" s="691"/>
      <c r="TYF267" s="651"/>
      <c r="TYG267" s="691"/>
      <c r="TYH267" s="651"/>
      <c r="TYI267" s="691"/>
      <c r="TYJ267" s="651"/>
      <c r="TYK267" s="691"/>
      <c r="TYL267" s="651"/>
      <c r="TYM267" s="691"/>
      <c r="TYN267" s="651"/>
      <c r="TYO267" s="691"/>
      <c r="TYP267" s="651"/>
      <c r="TYQ267" s="691"/>
      <c r="TYR267" s="651"/>
      <c r="TYS267" s="691"/>
      <c r="TYT267" s="651"/>
      <c r="TYU267" s="691"/>
      <c r="TYV267" s="651"/>
      <c r="TYW267" s="691"/>
      <c r="TYX267" s="651"/>
      <c r="TYY267" s="691"/>
      <c r="TYZ267" s="651"/>
      <c r="TZA267" s="691"/>
      <c r="TZB267" s="651"/>
      <c r="TZC267" s="691"/>
      <c r="TZD267" s="651"/>
      <c r="TZE267" s="691"/>
      <c r="TZF267" s="651"/>
      <c r="TZG267" s="691"/>
      <c r="TZH267" s="651"/>
      <c r="TZI267" s="691"/>
      <c r="TZJ267" s="651"/>
      <c r="TZK267" s="691"/>
      <c r="TZL267" s="651"/>
      <c r="TZM267" s="691"/>
      <c r="TZN267" s="651"/>
      <c r="TZO267" s="691"/>
      <c r="TZP267" s="651"/>
      <c r="TZQ267" s="691"/>
      <c r="TZR267" s="651"/>
      <c r="TZS267" s="691"/>
      <c r="TZT267" s="651"/>
      <c r="TZU267" s="691"/>
      <c r="TZV267" s="651"/>
      <c r="TZW267" s="691"/>
      <c r="TZX267" s="651"/>
      <c r="TZY267" s="691"/>
      <c r="TZZ267" s="651"/>
      <c r="UAA267" s="691"/>
      <c r="UAB267" s="651"/>
      <c r="UAC267" s="691"/>
      <c r="UAD267" s="651"/>
      <c r="UAE267" s="691"/>
      <c r="UAF267" s="651"/>
      <c r="UAG267" s="691"/>
      <c r="UAH267" s="651"/>
      <c r="UAI267" s="691"/>
      <c r="UAJ267" s="651"/>
      <c r="UAK267" s="691"/>
      <c r="UAL267" s="651"/>
      <c r="UAM267" s="691"/>
      <c r="UAN267" s="651"/>
      <c r="UAO267" s="691"/>
      <c r="UAP267" s="651"/>
      <c r="UAQ267" s="691"/>
      <c r="UAR267" s="651"/>
      <c r="UAS267" s="691"/>
      <c r="UAT267" s="651"/>
      <c r="UAU267" s="691"/>
      <c r="UAV267" s="651"/>
      <c r="UAW267" s="691"/>
      <c r="UAX267" s="651"/>
      <c r="UAY267" s="691"/>
      <c r="UAZ267" s="651"/>
      <c r="UBA267" s="691"/>
      <c r="UBB267" s="651"/>
      <c r="UBC267" s="691"/>
      <c r="UBD267" s="651"/>
      <c r="UBE267" s="691"/>
      <c r="UBF267" s="651"/>
      <c r="UBG267" s="691"/>
      <c r="UBH267" s="651"/>
      <c r="UBI267" s="691"/>
      <c r="UBJ267" s="651"/>
      <c r="UBK267" s="691"/>
      <c r="UBL267" s="651"/>
      <c r="UBM267" s="691"/>
      <c r="UBN267" s="651"/>
      <c r="UBO267" s="691"/>
      <c r="UBP267" s="651"/>
      <c r="UBQ267" s="691"/>
      <c r="UBR267" s="651"/>
      <c r="UBS267" s="691"/>
      <c r="UBT267" s="651"/>
      <c r="UBU267" s="691"/>
      <c r="UBV267" s="651"/>
      <c r="UBW267" s="691"/>
      <c r="UBX267" s="651"/>
      <c r="UBY267" s="691"/>
      <c r="UBZ267" s="651"/>
      <c r="UCA267" s="691"/>
      <c r="UCB267" s="651"/>
      <c r="UCC267" s="691"/>
      <c r="UCD267" s="651"/>
      <c r="UCE267" s="691"/>
      <c r="UCF267" s="651"/>
      <c r="UCG267" s="691"/>
      <c r="UCH267" s="651"/>
      <c r="UCI267" s="691"/>
      <c r="UCJ267" s="651"/>
      <c r="UCK267" s="691"/>
      <c r="UCL267" s="651"/>
      <c r="UCM267" s="691"/>
      <c r="UCN267" s="651"/>
      <c r="UCO267" s="691"/>
      <c r="UCP267" s="651"/>
      <c r="UCQ267" s="691"/>
      <c r="UCR267" s="651"/>
      <c r="UCS267" s="691"/>
      <c r="UCT267" s="651"/>
      <c r="UCU267" s="691"/>
      <c r="UCV267" s="651"/>
      <c r="UCW267" s="691"/>
      <c r="UCX267" s="651"/>
      <c r="UCY267" s="691"/>
      <c r="UCZ267" s="651"/>
      <c r="UDA267" s="691"/>
      <c r="UDB267" s="651"/>
      <c r="UDC267" s="691"/>
      <c r="UDD267" s="651"/>
      <c r="UDE267" s="691"/>
      <c r="UDF267" s="651"/>
      <c r="UDG267" s="691"/>
      <c r="UDH267" s="651"/>
      <c r="UDI267" s="691"/>
      <c r="UDJ267" s="651"/>
      <c r="UDK267" s="691"/>
      <c r="UDL267" s="651"/>
      <c r="UDM267" s="691"/>
      <c r="UDN267" s="651"/>
      <c r="UDO267" s="691"/>
      <c r="UDP267" s="651"/>
      <c r="UDQ267" s="691"/>
      <c r="UDR267" s="651"/>
      <c r="UDS267" s="691"/>
      <c r="UDT267" s="651"/>
      <c r="UDU267" s="691"/>
      <c r="UDV267" s="651"/>
      <c r="UDW267" s="691"/>
      <c r="UDX267" s="651"/>
      <c r="UDY267" s="691"/>
      <c r="UDZ267" s="651"/>
      <c r="UEA267" s="691"/>
      <c r="UEB267" s="651"/>
      <c r="UEC267" s="691"/>
      <c r="UED267" s="651"/>
      <c r="UEE267" s="691"/>
      <c r="UEF267" s="651"/>
      <c r="UEG267" s="691"/>
      <c r="UEH267" s="651"/>
      <c r="UEI267" s="691"/>
      <c r="UEJ267" s="651"/>
      <c r="UEK267" s="691"/>
      <c r="UEL267" s="651"/>
      <c r="UEM267" s="691"/>
      <c r="UEN267" s="651"/>
      <c r="UEO267" s="691"/>
      <c r="UEP267" s="651"/>
      <c r="UEQ267" s="691"/>
      <c r="UER267" s="651"/>
      <c r="UES267" s="691"/>
      <c r="UET267" s="651"/>
      <c r="UEU267" s="691"/>
      <c r="UEV267" s="651"/>
      <c r="UEW267" s="691"/>
      <c r="UEX267" s="651"/>
      <c r="UEY267" s="691"/>
      <c r="UEZ267" s="651"/>
      <c r="UFA267" s="691"/>
      <c r="UFB267" s="651"/>
      <c r="UFC267" s="691"/>
      <c r="UFD267" s="651"/>
      <c r="UFE267" s="691"/>
      <c r="UFF267" s="651"/>
      <c r="UFG267" s="691"/>
      <c r="UFH267" s="651"/>
      <c r="UFI267" s="691"/>
      <c r="UFJ267" s="651"/>
      <c r="UFK267" s="691"/>
      <c r="UFL267" s="651"/>
      <c r="UFM267" s="691"/>
      <c r="UFN267" s="651"/>
      <c r="UFO267" s="691"/>
      <c r="UFP267" s="651"/>
      <c r="UFQ267" s="691"/>
      <c r="UFR267" s="651"/>
      <c r="UFS267" s="691"/>
      <c r="UFT267" s="651"/>
      <c r="UFU267" s="691"/>
      <c r="UFV267" s="651"/>
      <c r="UFW267" s="691"/>
      <c r="UFX267" s="651"/>
      <c r="UFY267" s="691"/>
      <c r="UFZ267" s="651"/>
      <c r="UGA267" s="691"/>
      <c r="UGB267" s="651"/>
      <c r="UGC267" s="691"/>
      <c r="UGD267" s="651"/>
      <c r="UGE267" s="691"/>
      <c r="UGF267" s="651"/>
      <c r="UGG267" s="691"/>
      <c r="UGH267" s="651"/>
      <c r="UGI267" s="691"/>
      <c r="UGJ267" s="651"/>
      <c r="UGK267" s="691"/>
      <c r="UGL267" s="651"/>
      <c r="UGM267" s="691"/>
      <c r="UGN267" s="651"/>
      <c r="UGO267" s="691"/>
      <c r="UGP267" s="651"/>
      <c r="UGQ267" s="691"/>
      <c r="UGR267" s="651"/>
      <c r="UGS267" s="691"/>
      <c r="UGT267" s="651"/>
      <c r="UGU267" s="691"/>
      <c r="UGV267" s="651"/>
      <c r="UGW267" s="691"/>
      <c r="UGX267" s="651"/>
      <c r="UGY267" s="691"/>
      <c r="UGZ267" s="651"/>
      <c r="UHA267" s="691"/>
      <c r="UHB267" s="651"/>
      <c r="UHC267" s="691"/>
      <c r="UHD267" s="651"/>
      <c r="UHE267" s="691"/>
      <c r="UHF267" s="651"/>
      <c r="UHG267" s="691"/>
      <c r="UHH267" s="651"/>
      <c r="UHI267" s="691"/>
      <c r="UHJ267" s="651"/>
      <c r="UHK267" s="691"/>
      <c r="UHL267" s="651"/>
      <c r="UHM267" s="691"/>
      <c r="UHN267" s="651"/>
      <c r="UHO267" s="691"/>
      <c r="UHP267" s="651"/>
      <c r="UHQ267" s="691"/>
      <c r="UHR267" s="651"/>
      <c r="UHS267" s="691"/>
      <c r="UHT267" s="651"/>
      <c r="UHU267" s="691"/>
      <c r="UHV267" s="651"/>
      <c r="UHW267" s="691"/>
      <c r="UHX267" s="651"/>
      <c r="UHY267" s="691"/>
      <c r="UHZ267" s="651"/>
      <c r="UIA267" s="691"/>
      <c r="UIB267" s="651"/>
      <c r="UIC267" s="691"/>
      <c r="UID267" s="651"/>
      <c r="UIE267" s="691"/>
      <c r="UIF267" s="651"/>
      <c r="UIG267" s="691"/>
      <c r="UIH267" s="651"/>
      <c r="UII267" s="691"/>
      <c r="UIJ267" s="651"/>
      <c r="UIK267" s="691"/>
      <c r="UIL267" s="651"/>
      <c r="UIM267" s="691"/>
      <c r="UIN267" s="651"/>
      <c r="UIO267" s="691"/>
      <c r="UIP267" s="651"/>
      <c r="UIQ267" s="691"/>
      <c r="UIR267" s="651"/>
      <c r="UIS267" s="691"/>
      <c r="UIT267" s="651"/>
      <c r="UIU267" s="691"/>
      <c r="UIV267" s="651"/>
      <c r="UIW267" s="691"/>
      <c r="UIX267" s="651"/>
      <c r="UIY267" s="691"/>
      <c r="UIZ267" s="651"/>
      <c r="UJA267" s="691"/>
      <c r="UJB267" s="651"/>
      <c r="UJC267" s="691"/>
      <c r="UJD267" s="651"/>
      <c r="UJE267" s="691"/>
      <c r="UJF267" s="651"/>
      <c r="UJG267" s="691"/>
      <c r="UJH267" s="651"/>
      <c r="UJI267" s="691"/>
      <c r="UJJ267" s="651"/>
      <c r="UJK267" s="691"/>
      <c r="UJL267" s="651"/>
      <c r="UJM267" s="691"/>
      <c r="UJN267" s="651"/>
      <c r="UJO267" s="691"/>
      <c r="UJP267" s="651"/>
      <c r="UJQ267" s="691"/>
      <c r="UJR267" s="651"/>
      <c r="UJS267" s="691"/>
      <c r="UJT267" s="651"/>
      <c r="UJU267" s="691"/>
      <c r="UJV267" s="651"/>
      <c r="UJW267" s="691"/>
      <c r="UJX267" s="651"/>
      <c r="UJY267" s="691"/>
      <c r="UJZ267" s="651"/>
      <c r="UKA267" s="691"/>
      <c r="UKB267" s="651"/>
      <c r="UKC267" s="691"/>
      <c r="UKD267" s="651"/>
      <c r="UKE267" s="691"/>
      <c r="UKF267" s="651"/>
      <c r="UKG267" s="691"/>
      <c r="UKH267" s="651"/>
      <c r="UKI267" s="691"/>
      <c r="UKJ267" s="651"/>
      <c r="UKK267" s="691"/>
      <c r="UKL267" s="651"/>
      <c r="UKM267" s="691"/>
      <c r="UKN267" s="651"/>
      <c r="UKO267" s="691"/>
      <c r="UKP267" s="651"/>
      <c r="UKQ267" s="691"/>
      <c r="UKR267" s="651"/>
      <c r="UKS267" s="691"/>
      <c r="UKT267" s="651"/>
      <c r="UKU267" s="691"/>
      <c r="UKV267" s="651"/>
      <c r="UKW267" s="691"/>
      <c r="UKX267" s="651"/>
      <c r="UKY267" s="691"/>
      <c r="UKZ267" s="651"/>
      <c r="ULA267" s="691"/>
      <c r="ULB267" s="651"/>
      <c r="ULC267" s="691"/>
      <c r="ULD267" s="651"/>
      <c r="ULE267" s="691"/>
      <c r="ULF267" s="651"/>
      <c r="ULG267" s="691"/>
      <c r="ULH267" s="651"/>
      <c r="ULI267" s="691"/>
      <c r="ULJ267" s="651"/>
      <c r="ULK267" s="691"/>
      <c r="ULL267" s="651"/>
      <c r="ULM267" s="691"/>
      <c r="ULN267" s="651"/>
      <c r="ULO267" s="691"/>
      <c r="ULP267" s="651"/>
      <c r="ULQ267" s="691"/>
      <c r="ULR267" s="651"/>
      <c r="ULS267" s="691"/>
      <c r="ULT267" s="651"/>
      <c r="ULU267" s="691"/>
      <c r="ULV267" s="651"/>
      <c r="ULW267" s="691"/>
      <c r="ULX267" s="651"/>
      <c r="ULY267" s="691"/>
      <c r="ULZ267" s="651"/>
      <c r="UMA267" s="691"/>
      <c r="UMB267" s="651"/>
      <c r="UMC267" s="691"/>
      <c r="UMD267" s="651"/>
      <c r="UME267" s="691"/>
      <c r="UMF267" s="651"/>
      <c r="UMG267" s="691"/>
      <c r="UMH267" s="651"/>
      <c r="UMI267" s="691"/>
      <c r="UMJ267" s="651"/>
      <c r="UMK267" s="691"/>
      <c r="UML267" s="651"/>
      <c r="UMM267" s="691"/>
      <c r="UMN267" s="651"/>
      <c r="UMO267" s="691"/>
      <c r="UMP267" s="651"/>
      <c r="UMQ267" s="691"/>
      <c r="UMR267" s="651"/>
      <c r="UMS267" s="691"/>
      <c r="UMT267" s="651"/>
      <c r="UMU267" s="691"/>
      <c r="UMV267" s="651"/>
      <c r="UMW267" s="691"/>
      <c r="UMX267" s="651"/>
      <c r="UMY267" s="691"/>
      <c r="UMZ267" s="651"/>
      <c r="UNA267" s="691"/>
      <c r="UNB267" s="651"/>
      <c r="UNC267" s="691"/>
      <c r="UND267" s="651"/>
      <c r="UNE267" s="691"/>
      <c r="UNF267" s="651"/>
      <c r="UNG267" s="691"/>
      <c r="UNH267" s="651"/>
      <c r="UNI267" s="691"/>
      <c r="UNJ267" s="651"/>
      <c r="UNK267" s="691"/>
      <c r="UNL267" s="651"/>
      <c r="UNM267" s="691"/>
      <c r="UNN267" s="651"/>
      <c r="UNO267" s="691"/>
      <c r="UNP267" s="651"/>
      <c r="UNQ267" s="691"/>
      <c r="UNR267" s="651"/>
      <c r="UNS267" s="691"/>
      <c r="UNT267" s="651"/>
      <c r="UNU267" s="691"/>
      <c r="UNV267" s="651"/>
      <c r="UNW267" s="691"/>
      <c r="UNX267" s="651"/>
      <c r="UNY267" s="691"/>
      <c r="UNZ267" s="651"/>
      <c r="UOA267" s="691"/>
      <c r="UOB267" s="651"/>
      <c r="UOC267" s="691"/>
      <c r="UOD267" s="651"/>
      <c r="UOE267" s="691"/>
      <c r="UOF267" s="651"/>
      <c r="UOG267" s="691"/>
      <c r="UOH267" s="651"/>
      <c r="UOI267" s="691"/>
      <c r="UOJ267" s="651"/>
      <c r="UOK267" s="691"/>
      <c r="UOL267" s="651"/>
      <c r="UOM267" s="691"/>
      <c r="UON267" s="651"/>
      <c r="UOO267" s="691"/>
      <c r="UOP267" s="651"/>
      <c r="UOQ267" s="691"/>
      <c r="UOR267" s="651"/>
      <c r="UOS267" s="691"/>
      <c r="UOT267" s="651"/>
      <c r="UOU267" s="691"/>
      <c r="UOV267" s="651"/>
      <c r="UOW267" s="691"/>
      <c r="UOX267" s="651"/>
      <c r="UOY267" s="691"/>
      <c r="UOZ267" s="651"/>
      <c r="UPA267" s="691"/>
      <c r="UPB267" s="651"/>
      <c r="UPC267" s="691"/>
      <c r="UPD267" s="651"/>
      <c r="UPE267" s="691"/>
      <c r="UPF267" s="651"/>
      <c r="UPG267" s="691"/>
      <c r="UPH267" s="651"/>
      <c r="UPI267" s="691"/>
      <c r="UPJ267" s="651"/>
      <c r="UPK267" s="691"/>
      <c r="UPL267" s="651"/>
      <c r="UPM267" s="691"/>
      <c r="UPN267" s="651"/>
      <c r="UPO267" s="691"/>
      <c r="UPP267" s="651"/>
      <c r="UPQ267" s="691"/>
      <c r="UPR267" s="651"/>
      <c r="UPS267" s="691"/>
      <c r="UPT267" s="651"/>
      <c r="UPU267" s="691"/>
      <c r="UPV267" s="651"/>
      <c r="UPW267" s="691"/>
      <c r="UPX267" s="651"/>
      <c r="UPY267" s="691"/>
      <c r="UPZ267" s="651"/>
      <c r="UQA267" s="691"/>
      <c r="UQB267" s="651"/>
      <c r="UQC267" s="691"/>
      <c r="UQD267" s="651"/>
      <c r="UQE267" s="691"/>
      <c r="UQF267" s="651"/>
      <c r="UQG267" s="691"/>
      <c r="UQH267" s="651"/>
      <c r="UQI267" s="691"/>
      <c r="UQJ267" s="651"/>
      <c r="UQK267" s="691"/>
      <c r="UQL267" s="651"/>
      <c r="UQM267" s="691"/>
      <c r="UQN267" s="651"/>
      <c r="UQO267" s="691"/>
      <c r="UQP267" s="651"/>
      <c r="UQQ267" s="691"/>
      <c r="UQR267" s="651"/>
      <c r="UQS267" s="691"/>
      <c r="UQT267" s="651"/>
      <c r="UQU267" s="691"/>
      <c r="UQV267" s="651"/>
      <c r="UQW267" s="691"/>
      <c r="UQX267" s="651"/>
      <c r="UQY267" s="691"/>
      <c r="UQZ267" s="651"/>
      <c r="URA267" s="691"/>
      <c r="URB267" s="651"/>
      <c r="URC267" s="691"/>
      <c r="URD267" s="651"/>
      <c r="URE267" s="691"/>
      <c r="URF267" s="651"/>
      <c r="URG267" s="691"/>
      <c r="URH267" s="651"/>
      <c r="URI267" s="691"/>
      <c r="URJ267" s="651"/>
      <c r="URK267" s="691"/>
      <c r="URL267" s="651"/>
      <c r="URM267" s="691"/>
      <c r="URN267" s="651"/>
      <c r="URO267" s="691"/>
      <c r="URP267" s="651"/>
      <c r="URQ267" s="691"/>
      <c r="URR267" s="651"/>
      <c r="URS267" s="691"/>
      <c r="URT267" s="651"/>
      <c r="URU267" s="691"/>
      <c r="URV267" s="651"/>
      <c r="URW267" s="691"/>
      <c r="URX267" s="651"/>
      <c r="URY267" s="691"/>
      <c r="URZ267" s="651"/>
      <c r="USA267" s="691"/>
      <c r="USB267" s="651"/>
      <c r="USC267" s="691"/>
      <c r="USD267" s="651"/>
      <c r="USE267" s="691"/>
      <c r="USF267" s="651"/>
      <c r="USG267" s="691"/>
      <c r="USH267" s="651"/>
      <c r="USI267" s="691"/>
      <c r="USJ267" s="651"/>
      <c r="USK267" s="691"/>
      <c r="USL267" s="651"/>
      <c r="USM267" s="691"/>
      <c r="USN267" s="651"/>
      <c r="USO267" s="691"/>
      <c r="USP267" s="651"/>
      <c r="USQ267" s="691"/>
      <c r="USR267" s="651"/>
      <c r="USS267" s="691"/>
      <c r="UST267" s="651"/>
      <c r="USU267" s="691"/>
      <c r="USV267" s="651"/>
      <c r="USW267" s="691"/>
      <c r="USX267" s="651"/>
      <c r="USY267" s="691"/>
      <c r="USZ267" s="651"/>
      <c r="UTA267" s="691"/>
      <c r="UTB267" s="651"/>
      <c r="UTC267" s="691"/>
      <c r="UTD267" s="651"/>
      <c r="UTE267" s="691"/>
      <c r="UTF267" s="651"/>
      <c r="UTG267" s="691"/>
      <c r="UTH267" s="651"/>
      <c r="UTI267" s="691"/>
      <c r="UTJ267" s="651"/>
      <c r="UTK267" s="691"/>
      <c r="UTL267" s="651"/>
      <c r="UTM267" s="691"/>
      <c r="UTN267" s="651"/>
      <c r="UTO267" s="691"/>
      <c r="UTP267" s="651"/>
      <c r="UTQ267" s="691"/>
      <c r="UTR267" s="651"/>
      <c r="UTS267" s="691"/>
      <c r="UTT267" s="651"/>
      <c r="UTU267" s="691"/>
      <c r="UTV267" s="651"/>
      <c r="UTW267" s="691"/>
      <c r="UTX267" s="651"/>
      <c r="UTY267" s="691"/>
      <c r="UTZ267" s="651"/>
      <c r="UUA267" s="691"/>
      <c r="UUB267" s="651"/>
      <c r="UUC267" s="691"/>
      <c r="UUD267" s="651"/>
      <c r="UUE267" s="691"/>
      <c r="UUF267" s="651"/>
      <c r="UUG267" s="691"/>
      <c r="UUH267" s="651"/>
      <c r="UUI267" s="691"/>
      <c r="UUJ267" s="651"/>
      <c r="UUK267" s="691"/>
      <c r="UUL267" s="651"/>
      <c r="UUM267" s="691"/>
      <c r="UUN267" s="651"/>
      <c r="UUO267" s="691"/>
      <c r="UUP267" s="651"/>
      <c r="UUQ267" s="691"/>
      <c r="UUR267" s="651"/>
      <c r="UUS267" s="691"/>
      <c r="UUT267" s="651"/>
      <c r="UUU267" s="691"/>
      <c r="UUV267" s="651"/>
      <c r="UUW267" s="691"/>
      <c r="UUX267" s="651"/>
      <c r="UUY267" s="691"/>
      <c r="UUZ267" s="651"/>
      <c r="UVA267" s="691"/>
      <c r="UVB267" s="651"/>
      <c r="UVC267" s="691"/>
      <c r="UVD267" s="651"/>
      <c r="UVE267" s="691"/>
      <c r="UVF267" s="651"/>
      <c r="UVG267" s="691"/>
      <c r="UVH267" s="651"/>
      <c r="UVI267" s="691"/>
      <c r="UVJ267" s="651"/>
      <c r="UVK267" s="691"/>
      <c r="UVL267" s="651"/>
      <c r="UVM267" s="691"/>
      <c r="UVN267" s="651"/>
      <c r="UVO267" s="691"/>
      <c r="UVP267" s="651"/>
      <c r="UVQ267" s="691"/>
      <c r="UVR267" s="651"/>
      <c r="UVS267" s="691"/>
      <c r="UVT267" s="651"/>
      <c r="UVU267" s="691"/>
      <c r="UVV267" s="651"/>
      <c r="UVW267" s="691"/>
      <c r="UVX267" s="651"/>
      <c r="UVY267" s="691"/>
      <c r="UVZ267" s="651"/>
      <c r="UWA267" s="691"/>
      <c r="UWB267" s="651"/>
      <c r="UWC267" s="691"/>
      <c r="UWD267" s="651"/>
      <c r="UWE267" s="691"/>
      <c r="UWF267" s="651"/>
      <c r="UWG267" s="691"/>
      <c r="UWH267" s="651"/>
      <c r="UWI267" s="691"/>
      <c r="UWJ267" s="651"/>
      <c r="UWK267" s="691"/>
      <c r="UWL267" s="651"/>
      <c r="UWM267" s="691"/>
      <c r="UWN267" s="651"/>
      <c r="UWO267" s="691"/>
      <c r="UWP267" s="651"/>
      <c r="UWQ267" s="691"/>
      <c r="UWR267" s="651"/>
      <c r="UWS267" s="691"/>
      <c r="UWT267" s="651"/>
      <c r="UWU267" s="691"/>
      <c r="UWV267" s="651"/>
      <c r="UWW267" s="691"/>
      <c r="UWX267" s="651"/>
      <c r="UWY267" s="691"/>
      <c r="UWZ267" s="651"/>
      <c r="UXA267" s="691"/>
      <c r="UXB267" s="651"/>
      <c r="UXC267" s="691"/>
      <c r="UXD267" s="651"/>
      <c r="UXE267" s="691"/>
      <c r="UXF267" s="651"/>
      <c r="UXG267" s="691"/>
      <c r="UXH267" s="651"/>
      <c r="UXI267" s="691"/>
      <c r="UXJ267" s="651"/>
      <c r="UXK267" s="691"/>
      <c r="UXL267" s="651"/>
      <c r="UXM267" s="691"/>
      <c r="UXN267" s="651"/>
      <c r="UXO267" s="691"/>
      <c r="UXP267" s="651"/>
      <c r="UXQ267" s="691"/>
      <c r="UXR267" s="651"/>
      <c r="UXS267" s="691"/>
      <c r="UXT267" s="651"/>
      <c r="UXU267" s="691"/>
      <c r="UXV267" s="651"/>
      <c r="UXW267" s="691"/>
      <c r="UXX267" s="651"/>
      <c r="UXY267" s="691"/>
      <c r="UXZ267" s="651"/>
      <c r="UYA267" s="691"/>
      <c r="UYB267" s="651"/>
      <c r="UYC267" s="691"/>
      <c r="UYD267" s="651"/>
      <c r="UYE267" s="691"/>
      <c r="UYF267" s="651"/>
      <c r="UYG267" s="691"/>
      <c r="UYH267" s="651"/>
      <c r="UYI267" s="691"/>
      <c r="UYJ267" s="651"/>
      <c r="UYK267" s="691"/>
      <c r="UYL267" s="651"/>
      <c r="UYM267" s="691"/>
      <c r="UYN267" s="651"/>
      <c r="UYO267" s="691"/>
      <c r="UYP267" s="651"/>
      <c r="UYQ267" s="691"/>
      <c r="UYR267" s="651"/>
      <c r="UYS267" s="691"/>
      <c r="UYT267" s="651"/>
      <c r="UYU267" s="691"/>
      <c r="UYV267" s="651"/>
      <c r="UYW267" s="691"/>
      <c r="UYX267" s="651"/>
      <c r="UYY267" s="691"/>
      <c r="UYZ267" s="651"/>
      <c r="UZA267" s="691"/>
      <c r="UZB267" s="651"/>
      <c r="UZC267" s="691"/>
      <c r="UZD267" s="651"/>
      <c r="UZE267" s="691"/>
      <c r="UZF267" s="651"/>
      <c r="UZG267" s="691"/>
      <c r="UZH267" s="651"/>
      <c r="UZI267" s="691"/>
      <c r="UZJ267" s="651"/>
      <c r="UZK267" s="691"/>
      <c r="UZL267" s="651"/>
      <c r="UZM267" s="691"/>
      <c r="UZN267" s="651"/>
      <c r="UZO267" s="691"/>
      <c r="UZP267" s="651"/>
      <c r="UZQ267" s="691"/>
      <c r="UZR267" s="651"/>
      <c r="UZS267" s="691"/>
      <c r="UZT267" s="651"/>
      <c r="UZU267" s="691"/>
      <c r="UZV267" s="651"/>
      <c r="UZW267" s="691"/>
      <c r="UZX267" s="651"/>
      <c r="UZY267" s="691"/>
      <c r="UZZ267" s="651"/>
      <c r="VAA267" s="691"/>
      <c r="VAB267" s="651"/>
      <c r="VAC267" s="691"/>
      <c r="VAD267" s="651"/>
      <c r="VAE267" s="691"/>
      <c r="VAF267" s="651"/>
      <c r="VAG267" s="691"/>
      <c r="VAH267" s="651"/>
      <c r="VAI267" s="691"/>
      <c r="VAJ267" s="651"/>
      <c r="VAK267" s="691"/>
      <c r="VAL267" s="651"/>
      <c r="VAM267" s="691"/>
      <c r="VAN267" s="651"/>
      <c r="VAO267" s="691"/>
      <c r="VAP267" s="651"/>
      <c r="VAQ267" s="691"/>
      <c r="VAR267" s="651"/>
      <c r="VAS267" s="691"/>
      <c r="VAT267" s="651"/>
      <c r="VAU267" s="691"/>
      <c r="VAV267" s="651"/>
      <c r="VAW267" s="691"/>
      <c r="VAX267" s="651"/>
      <c r="VAY267" s="691"/>
      <c r="VAZ267" s="651"/>
      <c r="VBA267" s="691"/>
      <c r="VBB267" s="651"/>
      <c r="VBC267" s="691"/>
      <c r="VBD267" s="651"/>
      <c r="VBE267" s="691"/>
      <c r="VBF267" s="651"/>
      <c r="VBG267" s="691"/>
      <c r="VBH267" s="651"/>
      <c r="VBI267" s="691"/>
      <c r="VBJ267" s="651"/>
      <c r="VBK267" s="691"/>
      <c r="VBL267" s="651"/>
      <c r="VBM267" s="691"/>
      <c r="VBN267" s="651"/>
      <c r="VBO267" s="691"/>
      <c r="VBP267" s="651"/>
      <c r="VBQ267" s="691"/>
      <c r="VBR267" s="651"/>
      <c r="VBS267" s="691"/>
      <c r="VBT267" s="651"/>
      <c r="VBU267" s="691"/>
      <c r="VBV267" s="651"/>
      <c r="VBW267" s="691"/>
      <c r="VBX267" s="651"/>
      <c r="VBY267" s="691"/>
      <c r="VBZ267" s="651"/>
      <c r="VCA267" s="691"/>
      <c r="VCB267" s="651"/>
      <c r="VCC267" s="691"/>
      <c r="VCD267" s="651"/>
      <c r="VCE267" s="691"/>
      <c r="VCF267" s="651"/>
      <c r="VCG267" s="691"/>
      <c r="VCH267" s="651"/>
      <c r="VCI267" s="691"/>
      <c r="VCJ267" s="651"/>
      <c r="VCK267" s="691"/>
      <c r="VCL267" s="651"/>
      <c r="VCM267" s="691"/>
      <c r="VCN267" s="651"/>
      <c r="VCO267" s="691"/>
      <c r="VCP267" s="651"/>
      <c r="VCQ267" s="691"/>
      <c r="VCR267" s="651"/>
      <c r="VCS267" s="691"/>
      <c r="VCT267" s="651"/>
      <c r="VCU267" s="691"/>
      <c r="VCV267" s="651"/>
      <c r="VCW267" s="691"/>
      <c r="VCX267" s="651"/>
      <c r="VCY267" s="691"/>
      <c r="VCZ267" s="651"/>
      <c r="VDA267" s="691"/>
      <c r="VDB267" s="651"/>
      <c r="VDC267" s="691"/>
      <c r="VDD267" s="651"/>
      <c r="VDE267" s="691"/>
      <c r="VDF267" s="651"/>
      <c r="VDG267" s="691"/>
      <c r="VDH267" s="651"/>
      <c r="VDI267" s="691"/>
      <c r="VDJ267" s="651"/>
      <c r="VDK267" s="691"/>
      <c r="VDL267" s="651"/>
      <c r="VDM267" s="691"/>
      <c r="VDN267" s="651"/>
      <c r="VDO267" s="691"/>
      <c r="VDP267" s="651"/>
      <c r="VDQ267" s="691"/>
      <c r="VDR267" s="651"/>
      <c r="VDS267" s="691"/>
      <c r="VDT267" s="651"/>
      <c r="VDU267" s="691"/>
      <c r="VDV267" s="651"/>
      <c r="VDW267" s="691"/>
      <c r="VDX267" s="651"/>
      <c r="VDY267" s="691"/>
      <c r="VDZ267" s="651"/>
      <c r="VEA267" s="691"/>
      <c r="VEB267" s="651"/>
      <c r="VEC267" s="691"/>
      <c r="VED267" s="651"/>
      <c r="VEE267" s="691"/>
      <c r="VEF267" s="651"/>
      <c r="VEG267" s="691"/>
      <c r="VEH267" s="651"/>
      <c r="VEI267" s="691"/>
      <c r="VEJ267" s="651"/>
      <c r="VEK267" s="691"/>
      <c r="VEL267" s="651"/>
      <c r="VEM267" s="691"/>
      <c r="VEN267" s="651"/>
      <c r="VEO267" s="691"/>
      <c r="VEP267" s="651"/>
      <c r="VEQ267" s="691"/>
      <c r="VER267" s="651"/>
      <c r="VES267" s="691"/>
      <c r="VET267" s="651"/>
      <c r="VEU267" s="691"/>
      <c r="VEV267" s="651"/>
      <c r="VEW267" s="691"/>
      <c r="VEX267" s="651"/>
      <c r="VEY267" s="691"/>
      <c r="VEZ267" s="651"/>
      <c r="VFA267" s="691"/>
      <c r="VFB267" s="651"/>
      <c r="VFC267" s="691"/>
      <c r="VFD267" s="651"/>
      <c r="VFE267" s="691"/>
      <c r="VFF267" s="651"/>
      <c r="VFG267" s="691"/>
      <c r="VFH267" s="651"/>
      <c r="VFI267" s="691"/>
      <c r="VFJ267" s="651"/>
      <c r="VFK267" s="691"/>
      <c r="VFL267" s="651"/>
      <c r="VFM267" s="691"/>
      <c r="VFN267" s="651"/>
      <c r="VFO267" s="691"/>
      <c r="VFP267" s="651"/>
      <c r="VFQ267" s="691"/>
      <c r="VFR267" s="651"/>
      <c r="VFS267" s="691"/>
      <c r="VFT267" s="651"/>
      <c r="VFU267" s="691"/>
      <c r="VFV267" s="651"/>
      <c r="VFW267" s="691"/>
      <c r="VFX267" s="651"/>
      <c r="VFY267" s="691"/>
      <c r="VFZ267" s="651"/>
      <c r="VGA267" s="691"/>
      <c r="VGB267" s="651"/>
      <c r="VGC267" s="691"/>
      <c r="VGD267" s="651"/>
      <c r="VGE267" s="691"/>
      <c r="VGF267" s="651"/>
      <c r="VGG267" s="691"/>
      <c r="VGH267" s="651"/>
      <c r="VGI267" s="691"/>
      <c r="VGJ267" s="651"/>
      <c r="VGK267" s="691"/>
      <c r="VGL267" s="651"/>
      <c r="VGM267" s="691"/>
      <c r="VGN267" s="651"/>
      <c r="VGO267" s="691"/>
      <c r="VGP267" s="651"/>
      <c r="VGQ267" s="691"/>
      <c r="VGR267" s="651"/>
      <c r="VGS267" s="691"/>
      <c r="VGT267" s="651"/>
      <c r="VGU267" s="691"/>
      <c r="VGV267" s="651"/>
      <c r="VGW267" s="691"/>
      <c r="VGX267" s="651"/>
      <c r="VGY267" s="691"/>
      <c r="VGZ267" s="651"/>
      <c r="VHA267" s="691"/>
      <c r="VHB267" s="651"/>
      <c r="VHC267" s="691"/>
      <c r="VHD267" s="651"/>
      <c r="VHE267" s="691"/>
      <c r="VHF267" s="651"/>
      <c r="VHG267" s="691"/>
      <c r="VHH267" s="651"/>
      <c r="VHI267" s="691"/>
      <c r="VHJ267" s="651"/>
      <c r="VHK267" s="691"/>
      <c r="VHL267" s="651"/>
      <c r="VHM267" s="691"/>
      <c r="VHN267" s="651"/>
      <c r="VHO267" s="691"/>
      <c r="VHP267" s="651"/>
      <c r="VHQ267" s="691"/>
      <c r="VHR267" s="651"/>
      <c r="VHS267" s="691"/>
      <c r="VHT267" s="651"/>
      <c r="VHU267" s="691"/>
      <c r="VHV267" s="651"/>
      <c r="VHW267" s="691"/>
      <c r="VHX267" s="651"/>
      <c r="VHY267" s="691"/>
      <c r="VHZ267" s="651"/>
      <c r="VIA267" s="691"/>
      <c r="VIB267" s="651"/>
      <c r="VIC267" s="691"/>
      <c r="VID267" s="651"/>
      <c r="VIE267" s="691"/>
      <c r="VIF267" s="651"/>
      <c r="VIG267" s="691"/>
      <c r="VIH267" s="651"/>
      <c r="VII267" s="691"/>
      <c r="VIJ267" s="651"/>
      <c r="VIK267" s="691"/>
      <c r="VIL267" s="651"/>
      <c r="VIM267" s="691"/>
      <c r="VIN267" s="651"/>
      <c r="VIO267" s="691"/>
      <c r="VIP267" s="651"/>
      <c r="VIQ267" s="691"/>
      <c r="VIR267" s="651"/>
      <c r="VIS267" s="691"/>
      <c r="VIT267" s="651"/>
      <c r="VIU267" s="691"/>
      <c r="VIV267" s="651"/>
      <c r="VIW267" s="691"/>
      <c r="VIX267" s="651"/>
      <c r="VIY267" s="691"/>
      <c r="VIZ267" s="651"/>
      <c r="VJA267" s="691"/>
      <c r="VJB267" s="651"/>
      <c r="VJC267" s="691"/>
      <c r="VJD267" s="651"/>
      <c r="VJE267" s="691"/>
      <c r="VJF267" s="651"/>
      <c r="VJG267" s="691"/>
      <c r="VJH267" s="651"/>
      <c r="VJI267" s="691"/>
      <c r="VJJ267" s="651"/>
      <c r="VJK267" s="691"/>
      <c r="VJL267" s="651"/>
      <c r="VJM267" s="691"/>
      <c r="VJN267" s="651"/>
      <c r="VJO267" s="691"/>
      <c r="VJP267" s="651"/>
      <c r="VJQ267" s="691"/>
      <c r="VJR267" s="651"/>
      <c r="VJS267" s="691"/>
      <c r="VJT267" s="651"/>
      <c r="VJU267" s="691"/>
      <c r="VJV267" s="651"/>
      <c r="VJW267" s="691"/>
      <c r="VJX267" s="651"/>
      <c r="VJY267" s="691"/>
      <c r="VJZ267" s="651"/>
      <c r="VKA267" s="691"/>
      <c r="VKB267" s="651"/>
      <c r="VKC267" s="691"/>
      <c r="VKD267" s="651"/>
      <c r="VKE267" s="691"/>
      <c r="VKF267" s="651"/>
      <c r="VKG267" s="691"/>
      <c r="VKH267" s="651"/>
      <c r="VKI267" s="691"/>
      <c r="VKJ267" s="651"/>
      <c r="VKK267" s="691"/>
      <c r="VKL267" s="651"/>
      <c r="VKM267" s="691"/>
      <c r="VKN267" s="651"/>
      <c r="VKO267" s="691"/>
      <c r="VKP267" s="651"/>
      <c r="VKQ267" s="691"/>
      <c r="VKR267" s="651"/>
      <c r="VKS267" s="691"/>
      <c r="VKT267" s="651"/>
      <c r="VKU267" s="691"/>
      <c r="VKV267" s="651"/>
      <c r="VKW267" s="691"/>
      <c r="VKX267" s="651"/>
      <c r="VKY267" s="691"/>
      <c r="VKZ267" s="651"/>
      <c r="VLA267" s="691"/>
      <c r="VLB267" s="651"/>
      <c r="VLC267" s="691"/>
      <c r="VLD267" s="651"/>
      <c r="VLE267" s="691"/>
      <c r="VLF267" s="651"/>
      <c r="VLG267" s="691"/>
      <c r="VLH267" s="651"/>
      <c r="VLI267" s="691"/>
      <c r="VLJ267" s="651"/>
      <c r="VLK267" s="691"/>
      <c r="VLL267" s="651"/>
      <c r="VLM267" s="691"/>
      <c r="VLN267" s="651"/>
      <c r="VLO267" s="691"/>
      <c r="VLP267" s="651"/>
      <c r="VLQ267" s="691"/>
      <c r="VLR267" s="651"/>
      <c r="VLS267" s="691"/>
      <c r="VLT267" s="651"/>
      <c r="VLU267" s="691"/>
      <c r="VLV267" s="651"/>
      <c r="VLW267" s="691"/>
      <c r="VLX267" s="651"/>
      <c r="VLY267" s="691"/>
      <c r="VLZ267" s="651"/>
      <c r="VMA267" s="691"/>
      <c r="VMB267" s="651"/>
      <c r="VMC267" s="691"/>
      <c r="VMD267" s="651"/>
      <c r="VME267" s="691"/>
      <c r="VMF267" s="651"/>
      <c r="VMG267" s="691"/>
      <c r="VMH267" s="651"/>
      <c r="VMI267" s="691"/>
      <c r="VMJ267" s="651"/>
      <c r="VMK267" s="691"/>
      <c r="VML267" s="651"/>
      <c r="VMM267" s="691"/>
      <c r="VMN267" s="651"/>
      <c r="VMO267" s="691"/>
      <c r="VMP267" s="651"/>
      <c r="VMQ267" s="691"/>
      <c r="VMR267" s="651"/>
      <c r="VMS267" s="691"/>
      <c r="VMT267" s="651"/>
      <c r="VMU267" s="691"/>
      <c r="VMV267" s="651"/>
      <c r="VMW267" s="691"/>
      <c r="VMX267" s="651"/>
      <c r="VMY267" s="691"/>
      <c r="VMZ267" s="651"/>
      <c r="VNA267" s="691"/>
      <c r="VNB267" s="651"/>
      <c r="VNC267" s="691"/>
      <c r="VND267" s="651"/>
      <c r="VNE267" s="691"/>
      <c r="VNF267" s="651"/>
      <c r="VNG267" s="691"/>
      <c r="VNH267" s="651"/>
      <c r="VNI267" s="691"/>
      <c r="VNJ267" s="651"/>
      <c r="VNK267" s="691"/>
      <c r="VNL267" s="651"/>
      <c r="VNM267" s="691"/>
      <c r="VNN267" s="651"/>
      <c r="VNO267" s="691"/>
      <c r="VNP267" s="651"/>
      <c r="VNQ267" s="691"/>
      <c r="VNR267" s="651"/>
      <c r="VNS267" s="691"/>
      <c r="VNT267" s="651"/>
      <c r="VNU267" s="691"/>
      <c r="VNV267" s="651"/>
      <c r="VNW267" s="691"/>
      <c r="VNX267" s="651"/>
      <c r="VNY267" s="691"/>
      <c r="VNZ267" s="651"/>
      <c r="VOA267" s="691"/>
      <c r="VOB267" s="651"/>
      <c r="VOC267" s="691"/>
      <c r="VOD267" s="651"/>
      <c r="VOE267" s="691"/>
      <c r="VOF267" s="651"/>
      <c r="VOG267" s="691"/>
      <c r="VOH267" s="651"/>
      <c r="VOI267" s="691"/>
      <c r="VOJ267" s="651"/>
      <c r="VOK267" s="691"/>
      <c r="VOL267" s="651"/>
      <c r="VOM267" s="691"/>
      <c r="VON267" s="651"/>
      <c r="VOO267" s="691"/>
      <c r="VOP267" s="651"/>
      <c r="VOQ267" s="691"/>
      <c r="VOR267" s="651"/>
      <c r="VOS267" s="691"/>
      <c r="VOT267" s="651"/>
      <c r="VOU267" s="691"/>
      <c r="VOV267" s="651"/>
      <c r="VOW267" s="691"/>
      <c r="VOX267" s="651"/>
      <c r="VOY267" s="691"/>
      <c r="VOZ267" s="651"/>
      <c r="VPA267" s="691"/>
      <c r="VPB267" s="651"/>
      <c r="VPC267" s="691"/>
      <c r="VPD267" s="651"/>
      <c r="VPE267" s="691"/>
      <c r="VPF267" s="651"/>
      <c r="VPG267" s="691"/>
      <c r="VPH267" s="651"/>
      <c r="VPI267" s="691"/>
      <c r="VPJ267" s="651"/>
      <c r="VPK267" s="691"/>
      <c r="VPL267" s="651"/>
      <c r="VPM267" s="691"/>
      <c r="VPN267" s="651"/>
      <c r="VPO267" s="691"/>
      <c r="VPP267" s="651"/>
      <c r="VPQ267" s="691"/>
      <c r="VPR267" s="651"/>
      <c r="VPS267" s="691"/>
      <c r="VPT267" s="651"/>
      <c r="VPU267" s="691"/>
      <c r="VPV267" s="651"/>
      <c r="VPW267" s="691"/>
      <c r="VPX267" s="651"/>
      <c r="VPY267" s="691"/>
      <c r="VPZ267" s="651"/>
      <c r="VQA267" s="691"/>
      <c r="VQB267" s="651"/>
      <c r="VQC267" s="691"/>
      <c r="VQD267" s="651"/>
      <c r="VQE267" s="691"/>
      <c r="VQF267" s="651"/>
      <c r="VQG267" s="691"/>
      <c r="VQH267" s="651"/>
      <c r="VQI267" s="691"/>
      <c r="VQJ267" s="651"/>
      <c r="VQK267" s="691"/>
      <c r="VQL267" s="651"/>
      <c r="VQM267" s="691"/>
      <c r="VQN267" s="651"/>
      <c r="VQO267" s="691"/>
      <c r="VQP267" s="651"/>
      <c r="VQQ267" s="691"/>
      <c r="VQR267" s="651"/>
      <c r="VQS267" s="691"/>
      <c r="VQT267" s="651"/>
      <c r="VQU267" s="691"/>
      <c r="VQV267" s="651"/>
      <c r="VQW267" s="691"/>
      <c r="VQX267" s="651"/>
      <c r="VQY267" s="691"/>
      <c r="VQZ267" s="651"/>
      <c r="VRA267" s="691"/>
      <c r="VRB267" s="651"/>
      <c r="VRC267" s="691"/>
      <c r="VRD267" s="651"/>
      <c r="VRE267" s="691"/>
      <c r="VRF267" s="651"/>
      <c r="VRG267" s="691"/>
      <c r="VRH267" s="651"/>
      <c r="VRI267" s="691"/>
      <c r="VRJ267" s="651"/>
      <c r="VRK267" s="691"/>
      <c r="VRL267" s="651"/>
      <c r="VRM267" s="691"/>
      <c r="VRN267" s="651"/>
      <c r="VRO267" s="691"/>
      <c r="VRP267" s="651"/>
      <c r="VRQ267" s="691"/>
      <c r="VRR267" s="651"/>
      <c r="VRS267" s="691"/>
      <c r="VRT267" s="651"/>
      <c r="VRU267" s="691"/>
      <c r="VRV267" s="651"/>
      <c r="VRW267" s="691"/>
      <c r="VRX267" s="651"/>
      <c r="VRY267" s="691"/>
      <c r="VRZ267" s="651"/>
      <c r="VSA267" s="691"/>
      <c r="VSB267" s="651"/>
      <c r="VSC267" s="691"/>
      <c r="VSD267" s="651"/>
      <c r="VSE267" s="691"/>
      <c r="VSF267" s="651"/>
      <c r="VSG267" s="691"/>
      <c r="VSH267" s="651"/>
      <c r="VSI267" s="691"/>
      <c r="VSJ267" s="651"/>
      <c r="VSK267" s="691"/>
      <c r="VSL267" s="651"/>
      <c r="VSM267" s="691"/>
      <c r="VSN267" s="651"/>
      <c r="VSO267" s="691"/>
      <c r="VSP267" s="651"/>
      <c r="VSQ267" s="691"/>
      <c r="VSR267" s="651"/>
      <c r="VSS267" s="691"/>
      <c r="VST267" s="651"/>
      <c r="VSU267" s="691"/>
      <c r="VSV267" s="651"/>
      <c r="VSW267" s="691"/>
      <c r="VSX267" s="651"/>
      <c r="VSY267" s="691"/>
      <c r="VSZ267" s="651"/>
      <c r="VTA267" s="691"/>
      <c r="VTB267" s="651"/>
      <c r="VTC267" s="691"/>
      <c r="VTD267" s="651"/>
      <c r="VTE267" s="691"/>
      <c r="VTF267" s="651"/>
      <c r="VTG267" s="691"/>
      <c r="VTH267" s="651"/>
      <c r="VTI267" s="691"/>
      <c r="VTJ267" s="651"/>
      <c r="VTK267" s="691"/>
      <c r="VTL267" s="651"/>
      <c r="VTM267" s="691"/>
      <c r="VTN267" s="651"/>
      <c r="VTO267" s="691"/>
      <c r="VTP267" s="651"/>
      <c r="VTQ267" s="691"/>
      <c r="VTR267" s="651"/>
      <c r="VTS267" s="691"/>
      <c r="VTT267" s="651"/>
      <c r="VTU267" s="691"/>
      <c r="VTV267" s="651"/>
      <c r="VTW267" s="691"/>
      <c r="VTX267" s="651"/>
      <c r="VTY267" s="691"/>
      <c r="VTZ267" s="651"/>
      <c r="VUA267" s="691"/>
      <c r="VUB267" s="651"/>
      <c r="VUC267" s="691"/>
      <c r="VUD267" s="651"/>
      <c r="VUE267" s="691"/>
      <c r="VUF267" s="651"/>
      <c r="VUG267" s="691"/>
      <c r="VUH267" s="651"/>
      <c r="VUI267" s="691"/>
      <c r="VUJ267" s="651"/>
      <c r="VUK267" s="691"/>
      <c r="VUL267" s="651"/>
      <c r="VUM267" s="691"/>
      <c r="VUN267" s="651"/>
      <c r="VUO267" s="691"/>
      <c r="VUP267" s="651"/>
      <c r="VUQ267" s="691"/>
      <c r="VUR267" s="651"/>
      <c r="VUS267" s="691"/>
      <c r="VUT267" s="651"/>
      <c r="VUU267" s="691"/>
      <c r="VUV267" s="651"/>
      <c r="VUW267" s="691"/>
      <c r="VUX267" s="651"/>
      <c r="VUY267" s="691"/>
      <c r="VUZ267" s="651"/>
      <c r="VVA267" s="691"/>
      <c r="VVB267" s="651"/>
      <c r="VVC267" s="691"/>
      <c r="VVD267" s="651"/>
      <c r="VVE267" s="691"/>
      <c r="VVF267" s="651"/>
      <c r="VVG267" s="691"/>
      <c r="VVH267" s="651"/>
      <c r="VVI267" s="691"/>
      <c r="VVJ267" s="651"/>
      <c r="VVK267" s="691"/>
      <c r="VVL267" s="651"/>
      <c r="VVM267" s="691"/>
      <c r="VVN267" s="651"/>
      <c r="VVO267" s="691"/>
      <c r="VVP267" s="651"/>
      <c r="VVQ267" s="691"/>
      <c r="VVR267" s="651"/>
      <c r="VVS267" s="691"/>
      <c r="VVT267" s="651"/>
      <c r="VVU267" s="691"/>
      <c r="VVV267" s="651"/>
      <c r="VVW267" s="691"/>
      <c r="VVX267" s="651"/>
      <c r="VVY267" s="691"/>
      <c r="VVZ267" s="651"/>
      <c r="VWA267" s="691"/>
      <c r="VWB267" s="651"/>
      <c r="VWC267" s="691"/>
      <c r="VWD267" s="651"/>
      <c r="VWE267" s="691"/>
      <c r="VWF267" s="651"/>
      <c r="VWG267" s="691"/>
      <c r="VWH267" s="651"/>
      <c r="VWI267" s="691"/>
      <c r="VWJ267" s="651"/>
      <c r="VWK267" s="691"/>
      <c r="VWL267" s="651"/>
      <c r="VWM267" s="691"/>
      <c r="VWN267" s="651"/>
      <c r="VWO267" s="691"/>
      <c r="VWP267" s="651"/>
      <c r="VWQ267" s="691"/>
      <c r="VWR267" s="651"/>
      <c r="VWS267" s="691"/>
      <c r="VWT267" s="651"/>
      <c r="VWU267" s="691"/>
      <c r="VWV267" s="651"/>
      <c r="VWW267" s="691"/>
      <c r="VWX267" s="651"/>
      <c r="VWY267" s="691"/>
      <c r="VWZ267" s="651"/>
      <c r="VXA267" s="691"/>
      <c r="VXB267" s="651"/>
      <c r="VXC267" s="691"/>
      <c r="VXD267" s="651"/>
      <c r="VXE267" s="691"/>
      <c r="VXF267" s="651"/>
      <c r="VXG267" s="691"/>
      <c r="VXH267" s="651"/>
      <c r="VXI267" s="691"/>
      <c r="VXJ267" s="651"/>
      <c r="VXK267" s="691"/>
      <c r="VXL267" s="651"/>
      <c r="VXM267" s="691"/>
      <c r="VXN267" s="651"/>
      <c r="VXO267" s="691"/>
      <c r="VXP267" s="651"/>
      <c r="VXQ267" s="691"/>
      <c r="VXR267" s="651"/>
      <c r="VXS267" s="691"/>
      <c r="VXT267" s="651"/>
      <c r="VXU267" s="691"/>
      <c r="VXV267" s="651"/>
      <c r="VXW267" s="691"/>
      <c r="VXX267" s="651"/>
      <c r="VXY267" s="691"/>
      <c r="VXZ267" s="651"/>
      <c r="VYA267" s="691"/>
      <c r="VYB267" s="651"/>
      <c r="VYC267" s="691"/>
      <c r="VYD267" s="651"/>
      <c r="VYE267" s="691"/>
      <c r="VYF267" s="651"/>
      <c r="VYG267" s="691"/>
      <c r="VYH267" s="651"/>
      <c r="VYI267" s="691"/>
      <c r="VYJ267" s="651"/>
      <c r="VYK267" s="691"/>
      <c r="VYL267" s="651"/>
      <c r="VYM267" s="691"/>
      <c r="VYN267" s="651"/>
      <c r="VYO267" s="691"/>
      <c r="VYP267" s="651"/>
      <c r="VYQ267" s="691"/>
      <c r="VYR267" s="651"/>
      <c r="VYS267" s="691"/>
      <c r="VYT267" s="651"/>
      <c r="VYU267" s="691"/>
      <c r="VYV267" s="651"/>
      <c r="VYW267" s="691"/>
      <c r="VYX267" s="651"/>
      <c r="VYY267" s="691"/>
      <c r="VYZ267" s="651"/>
      <c r="VZA267" s="691"/>
      <c r="VZB267" s="651"/>
      <c r="VZC267" s="691"/>
      <c r="VZD267" s="651"/>
      <c r="VZE267" s="691"/>
      <c r="VZF267" s="651"/>
      <c r="VZG267" s="691"/>
      <c r="VZH267" s="651"/>
      <c r="VZI267" s="691"/>
      <c r="VZJ267" s="651"/>
      <c r="VZK267" s="691"/>
      <c r="VZL267" s="651"/>
      <c r="VZM267" s="691"/>
      <c r="VZN267" s="651"/>
      <c r="VZO267" s="691"/>
      <c r="VZP267" s="651"/>
      <c r="VZQ267" s="691"/>
      <c r="VZR267" s="651"/>
      <c r="VZS267" s="691"/>
      <c r="VZT267" s="651"/>
      <c r="VZU267" s="691"/>
      <c r="VZV267" s="651"/>
      <c r="VZW267" s="691"/>
      <c r="VZX267" s="651"/>
      <c r="VZY267" s="691"/>
      <c r="VZZ267" s="651"/>
      <c r="WAA267" s="691"/>
      <c r="WAB267" s="651"/>
      <c r="WAC267" s="691"/>
      <c r="WAD267" s="651"/>
      <c r="WAE267" s="691"/>
      <c r="WAF267" s="651"/>
      <c r="WAG267" s="691"/>
      <c r="WAH267" s="651"/>
      <c r="WAI267" s="691"/>
      <c r="WAJ267" s="651"/>
      <c r="WAK267" s="691"/>
      <c r="WAL267" s="651"/>
      <c r="WAM267" s="691"/>
      <c r="WAN267" s="651"/>
      <c r="WAO267" s="691"/>
      <c r="WAP267" s="651"/>
      <c r="WAQ267" s="691"/>
      <c r="WAR267" s="651"/>
      <c r="WAS267" s="691"/>
      <c r="WAT267" s="651"/>
      <c r="WAU267" s="691"/>
      <c r="WAV267" s="651"/>
      <c r="WAW267" s="691"/>
      <c r="WAX267" s="651"/>
      <c r="WAY267" s="691"/>
      <c r="WAZ267" s="651"/>
      <c r="WBA267" s="691"/>
      <c r="WBB267" s="651"/>
      <c r="WBC267" s="691"/>
      <c r="WBD267" s="651"/>
      <c r="WBE267" s="691"/>
      <c r="WBF267" s="651"/>
      <c r="WBG267" s="691"/>
      <c r="WBH267" s="651"/>
      <c r="WBI267" s="691"/>
      <c r="WBJ267" s="651"/>
      <c r="WBK267" s="691"/>
      <c r="WBL267" s="651"/>
      <c r="WBM267" s="691"/>
      <c r="WBN267" s="651"/>
      <c r="WBO267" s="691"/>
      <c r="WBP267" s="651"/>
      <c r="WBQ267" s="691"/>
      <c r="WBR267" s="651"/>
      <c r="WBS267" s="691"/>
      <c r="WBT267" s="651"/>
      <c r="WBU267" s="691"/>
      <c r="WBV267" s="651"/>
      <c r="WBW267" s="691"/>
      <c r="WBX267" s="651"/>
      <c r="WBY267" s="691"/>
      <c r="WBZ267" s="651"/>
      <c r="WCA267" s="691"/>
      <c r="WCB267" s="651"/>
      <c r="WCC267" s="691"/>
      <c r="WCD267" s="651"/>
      <c r="WCE267" s="691"/>
      <c r="WCF267" s="651"/>
      <c r="WCG267" s="691"/>
      <c r="WCH267" s="651"/>
      <c r="WCI267" s="691"/>
      <c r="WCJ267" s="651"/>
      <c r="WCK267" s="691"/>
      <c r="WCL267" s="651"/>
      <c r="WCM267" s="691"/>
      <c r="WCN267" s="651"/>
      <c r="WCO267" s="691"/>
      <c r="WCP267" s="651"/>
      <c r="WCQ267" s="691"/>
      <c r="WCR267" s="651"/>
      <c r="WCS267" s="691"/>
      <c r="WCT267" s="651"/>
      <c r="WCU267" s="691"/>
      <c r="WCV267" s="651"/>
      <c r="WCW267" s="691"/>
      <c r="WCX267" s="651"/>
      <c r="WCY267" s="691"/>
      <c r="WCZ267" s="651"/>
      <c r="WDA267" s="691"/>
      <c r="WDB267" s="651"/>
      <c r="WDC267" s="691"/>
      <c r="WDD267" s="651"/>
      <c r="WDE267" s="691"/>
      <c r="WDF267" s="651"/>
      <c r="WDG267" s="691"/>
      <c r="WDH267" s="651"/>
      <c r="WDI267" s="691"/>
      <c r="WDJ267" s="651"/>
      <c r="WDK267" s="691"/>
      <c r="WDL267" s="651"/>
      <c r="WDM267" s="691"/>
      <c r="WDN267" s="651"/>
      <c r="WDO267" s="691"/>
      <c r="WDP267" s="651"/>
      <c r="WDQ267" s="691"/>
      <c r="WDR267" s="651"/>
      <c r="WDS267" s="691"/>
      <c r="WDT267" s="651"/>
      <c r="WDU267" s="691"/>
      <c r="WDV267" s="651"/>
      <c r="WDW267" s="691"/>
      <c r="WDX267" s="651"/>
      <c r="WDY267" s="691"/>
      <c r="WDZ267" s="651"/>
      <c r="WEA267" s="691"/>
      <c r="WEB267" s="651"/>
      <c r="WEC267" s="691"/>
      <c r="WED267" s="651"/>
      <c r="WEE267" s="691"/>
      <c r="WEF267" s="651"/>
      <c r="WEG267" s="691"/>
      <c r="WEH267" s="651"/>
      <c r="WEI267" s="691"/>
      <c r="WEJ267" s="651"/>
      <c r="WEK267" s="691"/>
      <c r="WEL267" s="651"/>
      <c r="WEM267" s="691"/>
      <c r="WEN267" s="651"/>
      <c r="WEO267" s="691"/>
      <c r="WEP267" s="651"/>
      <c r="WEQ267" s="691"/>
      <c r="WER267" s="651"/>
      <c r="WES267" s="691"/>
      <c r="WET267" s="651"/>
      <c r="WEU267" s="691"/>
      <c r="WEV267" s="651"/>
      <c r="WEW267" s="691"/>
      <c r="WEX267" s="651"/>
      <c r="WEY267" s="691"/>
      <c r="WEZ267" s="651"/>
      <c r="WFA267" s="691"/>
      <c r="WFB267" s="651"/>
      <c r="WFC267" s="691"/>
      <c r="WFD267" s="651"/>
      <c r="WFE267" s="691"/>
      <c r="WFF267" s="651"/>
      <c r="WFG267" s="691"/>
      <c r="WFH267" s="651"/>
      <c r="WFI267" s="691"/>
      <c r="WFJ267" s="651"/>
      <c r="WFK267" s="691"/>
      <c r="WFL267" s="651"/>
      <c r="WFM267" s="691"/>
      <c r="WFN267" s="651"/>
      <c r="WFO267" s="691"/>
      <c r="WFP267" s="651"/>
      <c r="WFQ267" s="691"/>
      <c r="WFR267" s="651"/>
      <c r="WFS267" s="691"/>
      <c r="WFT267" s="651"/>
      <c r="WFU267" s="691"/>
      <c r="WFV267" s="651"/>
      <c r="WFW267" s="691"/>
      <c r="WFX267" s="651"/>
      <c r="WFY267" s="691"/>
      <c r="WFZ267" s="651"/>
      <c r="WGA267" s="691"/>
      <c r="WGB267" s="651"/>
      <c r="WGC267" s="691"/>
      <c r="WGD267" s="651"/>
      <c r="WGE267" s="691"/>
      <c r="WGF267" s="651"/>
      <c r="WGG267" s="691"/>
      <c r="WGH267" s="651"/>
      <c r="WGI267" s="691"/>
      <c r="WGJ267" s="651"/>
      <c r="WGK267" s="691"/>
      <c r="WGL267" s="651"/>
      <c r="WGM267" s="691"/>
      <c r="WGN267" s="651"/>
      <c r="WGO267" s="691"/>
      <c r="WGP267" s="651"/>
      <c r="WGQ267" s="691"/>
      <c r="WGR267" s="651"/>
      <c r="WGS267" s="691"/>
      <c r="WGT267" s="651"/>
      <c r="WGU267" s="691"/>
      <c r="WGV267" s="651"/>
      <c r="WGW267" s="691"/>
      <c r="WGX267" s="651"/>
      <c r="WGY267" s="691"/>
      <c r="WGZ267" s="651"/>
      <c r="WHA267" s="691"/>
      <c r="WHB267" s="651"/>
      <c r="WHC267" s="691"/>
      <c r="WHD267" s="651"/>
      <c r="WHE267" s="691"/>
      <c r="WHF267" s="651"/>
      <c r="WHG267" s="691"/>
      <c r="WHH267" s="651"/>
      <c r="WHI267" s="691"/>
      <c r="WHJ267" s="651"/>
      <c r="WHK267" s="691"/>
      <c r="WHL267" s="651"/>
      <c r="WHM267" s="691"/>
      <c r="WHN267" s="651"/>
      <c r="WHO267" s="691"/>
      <c r="WHP267" s="651"/>
      <c r="WHQ267" s="691"/>
      <c r="WHR267" s="651"/>
      <c r="WHS267" s="691"/>
      <c r="WHT267" s="651"/>
      <c r="WHU267" s="691"/>
      <c r="WHV267" s="651"/>
      <c r="WHW267" s="691"/>
      <c r="WHX267" s="651"/>
      <c r="WHY267" s="691"/>
      <c r="WHZ267" s="651"/>
      <c r="WIA267" s="691"/>
      <c r="WIB267" s="651"/>
      <c r="WIC267" s="691"/>
      <c r="WID267" s="651"/>
      <c r="WIE267" s="691"/>
      <c r="WIF267" s="651"/>
      <c r="WIG267" s="691"/>
      <c r="WIH267" s="651"/>
      <c r="WII267" s="691"/>
      <c r="WIJ267" s="651"/>
      <c r="WIK267" s="691"/>
      <c r="WIL267" s="651"/>
      <c r="WIM267" s="691"/>
      <c r="WIN267" s="651"/>
      <c r="WIO267" s="691"/>
      <c r="WIP267" s="651"/>
      <c r="WIQ267" s="691"/>
      <c r="WIR267" s="651"/>
      <c r="WIS267" s="691"/>
      <c r="WIT267" s="651"/>
      <c r="WIU267" s="691"/>
      <c r="WIV267" s="651"/>
      <c r="WIW267" s="691"/>
      <c r="WIX267" s="651"/>
      <c r="WIY267" s="691"/>
      <c r="WIZ267" s="651"/>
      <c r="WJA267" s="691"/>
      <c r="WJB267" s="651"/>
      <c r="WJC267" s="691"/>
      <c r="WJD267" s="651"/>
      <c r="WJE267" s="691"/>
      <c r="WJF267" s="651"/>
      <c r="WJG267" s="691"/>
      <c r="WJH267" s="651"/>
      <c r="WJI267" s="691"/>
      <c r="WJJ267" s="651"/>
      <c r="WJK267" s="691"/>
      <c r="WJL267" s="651"/>
      <c r="WJM267" s="691"/>
      <c r="WJN267" s="651"/>
      <c r="WJO267" s="691"/>
      <c r="WJP267" s="651"/>
      <c r="WJQ267" s="691"/>
      <c r="WJR267" s="651"/>
      <c r="WJS267" s="691"/>
      <c r="WJT267" s="651"/>
      <c r="WJU267" s="691"/>
      <c r="WJV267" s="651"/>
      <c r="WJW267" s="691"/>
      <c r="WJX267" s="651"/>
      <c r="WJY267" s="691"/>
      <c r="WJZ267" s="651"/>
      <c r="WKA267" s="691"/>
      <c r="WKB267" s="651"/>
      <c r="WKC267" s="691"/>
      <c r="WKD267" s="651"/>
      <c r="WKE267" s="691"/>
      <c r="WKF267" s="651"/>
      <c r="WKG267" s="691"/>
      <c r="WKH267" s="651"/>
      <c r="WKI267" s="691"/>
      <c r="WKJ267" s="651"/>
      <c r="WKK267" s="691"/>
      <c r="WKL267" s="651"/>
      <c r="WKM267" s="691"/>
      <c r="WKN267" s="651"/>
      <c r="WKO267" s="691"/>
      <c r="WKP267" s="651"/>
      <c r="WKQ267" s="691"/>
      <c r="WKR267" s="651"/>
      <c r="WKS267" s="691"/>
      <c r="WKT267" s="651"/>
      <c r="WKU267" s="691"/>
      <c r="WKV267" s="651"/>
      <c r="WKW267" s="691"/>
      <c r="WKX267" s="651"/>
      <c r="WKY267" s="691"/>
      <c r="WKZ267" s="651"/>
      <c r="WLA267" s="691"/>
      <c r="WLB267" s="651"/>
      <c r="WLC267" s="691"/>
      <c r="WLD267" s="651"/>
      <c r="WLE267" s="691"/>
      <c r="WLF267" s="651"/>
      <c r="WLG267" s="691"/>
      <c r="WLH267" s="651"/>
      <c r="WLI267" s="691"/>
      <c r="WLJ267" s="651"/>
      <c r="WLK267" s="691"/>
      <c r="WLL267" s="651"/>
      <c r="WLM267" s="691"/>
      <c r="WLN267" s="651"/>
      <c r="WLO267" s="691"/>
      <c r="WLP267" s="651"/>
      <c r="WLQ267" s="691"/>
      <c r="WLR267" s="651"/>
      <c r="WLS267" s="691"/>
      <c r="WLT267" s="651"/>
      <c r="WLU267" s="691"/>
      <c r="WLV267" s="651"/>
      <c r="WLW267" s="691"/>
      <c r="WLX267" s="651"/>
      <c r="WLY267" s="691"/>
      <c r="WLZ267" s="651"/>
      <c r="WMA267" s="691"/>
      <c r="WMB267" s="651"/>
      <c r="WMC267" s="691"/>
      <c r="WMD267" s="651"/>
      <c r="WME267" s="691"/>
      <c r="WMF267" s="651"/>
      <c r="WMG267" s="691"/>
      <c r="WMH267" s="651"/>
      <c r="WMI267" s="691"/>
      <c r="WMJ267" s="651"/>
      <c r="WMK267" s="691"/>
      <c r="WML267" s="651"/>
      <c r="WMM267" s="691"/>
      <c r="WMN267" s="651"/>
      <c r="WMO267" s="691"/>
      <c r="WMP267" s="651"/>
      <c r="WMQ267" s="691"/>
      <c r="WMR267" s="651"/>
      <c r="WMS267" s="691"/>
      <c r="WMT267" s="651"/>
      <c r="WMU267" s="691"/>
      <c r="WMV267" s="651"/>
      <c r="WMW267" s="691"/>
      <c r="WMX267" s="651"/>
      <c r="WMY267" s="691"/>
      <c r="WMZ267" s="651"/>
      <c r="WNA267" s="691"/>
      <c r="WNB267" s="651"/>
      <c r="WNC267" s="691"/>
      <c r="WND267" s="651"/>
      <c r="WNE267" s="691"/>
      <c r="WNF267" s="651"/>
      <c r="WNG267" s="691"/>
      <c r="WNH267" s="651"/>
      <c r="WNI267" s="691"/>
      <c r="WNJ267" s="651"/>
      <c r="WNK267" s="691"/>
      <c r="WNL267" s="651"/>
      <c r="WNM267" s="691"/>
      <c r="WNN267" s="651"/>
      <c r="WNO267" s="691"/>
      <c r="WNP267" s="651"/>
      <c r="WNQ267" s="691"/>
      <c r="WNR267" s="651"/>
      <c r="WNS267" s="691"/>
      <c r="WNT267" s="651"/>
      <c r="WNU267" s="691"/>
      <c r="WNV267" s="651"/>
      <c r="WNW267" s="691"/>
      <c r="WNX267" s="651"/>
      <c r="WNY267" s="691"/>
      <c r="WNZ267" s="651"/>
      <c r="WOA267" s="691"/>
      <c r="WOB267" s="651"/>
      <c r="WOC267" s="691"/>
      <c r="WOD267" s="651"/>
      <c r="WOE267" s="691"/>
      <c r="WOF267" s="651"/>
      <c r="WOG267" s="691"/>
      <c r="WOH267" s="651"/>
      <c r="WOI267" s="691"/>
      <c r="WOJ267" s="651"/>
      <c r="WOK267" s="691"/>
      <c r="WOL267" s="651"/>
      <c r="WOM267" s="691"/>
      <c r="WON267" s="651"/>
      <c r="WOO267" s="691"/>
      <c r="WOP267" s="651"/>
      <c r="WOQ267" s="691"/>
      <c r="WOR267" s="651"/>
      <c r="WOS267" s="691"/>
      <c r="WOT267" s="651"/>
      <c r="WOU267" s="691"/>
      <c r="WOV267" s="651"/>
      <c r="WOW267" s="691"/>
      <c r="WOX267" s="651"/>
      <c r="WOY267" s="691"/>
      <c r="WOZ267" s="651"/>
      <c r="WPA267" s="691"/>
      <c r="WPB267" s="651"/>
      <c r="WPC267" s="691"/>
      <c r="WPD267" s="651"/>
      <c r="WPE267" s="691"/>
      <c r="WPF267" s="651"/>
      <c r="WPG267" s="691"/>
      <c r="WPH267" s="651"/>
      <c r="WPI267" s="691"/>
      <c r="WPJ267" s="651"/>
      <c r="WPK267" s="691"/>
      <c r="WPL267" s="651"/>
      <c r="WPM267" s="691"/>
      <c r="WPN267" s="651"/>
      <c r="WPO267" s="691"/>
      <c r="WPP267" s="651"/>
      <c r="WPQ267" s="691"/>
      <c r="WPR267" s="651"/>
      <c r="WPS267" s="691"/>
      <c r="WPT267" s="651"/>
      <c r="WPU267" s="691"/>
      <c r="WPV267" s="651"/>
      <c r="WPW267" s="691"/>
      <c r="WPX267" s="651"/>
      <c r="WPY267" s="691"/>
      <c r="WPZ267" s="651"/>
      <c r="WQA267" s="691"/>
      <c r="WQB267" s="651"/>
      <c r="WQC267" s="691"/>
      <c r="WQD267" s="651"/>
      <c r="WQE267" s="691"/>
      <c r="WQF267" s="651"/>
      <c r="WQG267" s="691"/>
      <c r="WQH267" s="651"/>
      <c r="WQI267" s="691"/>
      <c r="WQJ267" s="651"/>
      <c r="WQK267" s="691"/>
      <c r="WQL267" s="651"/>
      <c r="WQM267" s="691"/>
      <c r="WQN267" s="651"/>
      <c r="WQO267" s="691"/>
      <c r="WQP267" s="651"/>
      <c r="WQQ267" s="691"/>
      <c r="WQR267" s="651"/>
      <c r="WQS267" s="691"/>
      <c r="WQT267" s="651"/>
      <c r="WQU267" s="691"/>
      <c r="WQV267" s="651"/>
      <c r="WQW267" s="691"/>
      <c r="WQX267" s="651"/>
      <c r="WQY267" s="691"/>
      <c r="WQZ267" s="651"/>
      <c r="WRA267" s="691"/>
      <c r="WRB267" s="651"/>
      <c r="WRC267" s="691"/>
      <c r="WRD267" s="651"/>
      <c r="WRE267" s="691"/>
      <c r="WRF267" s="651"/>
      <c r="WRG267" s="691"/>
      <c r="WRH267" s="651"/>
      <c r="WRI267" s="691"/>
      <c r="WRJ267" s="651"/>
      <c r="WRK267" s="691"/>
      <c r="WRL267" s="651"/>
      <c r="WRM267" s="691"/>
      <c r="WRN267" s="651"/>
      <c r="WRO267" s="691"/>
      <c r="WRP267" s="651"/>
      <c r="WRQ267" s="691"/>
      <c r="WRR267" s="651"/>
      <c r="WRS267" s="691"/>
      <c r="WRT267" s="651"/>
      <c r="WRU267" s="691"/>
      <c r="WRV267" s="651"/>
      <c r="WRW267" s="691"/>
      <c r="WRX267" s="651"/>
      <c r="WRY267" s="691"/>
      <c r="WRZ267" s="651"/>
      <c r="WSA267" s="691"/>
      <c r="WSB267" s="651"/>
      <c r="WSC267" s="691"/>
      <c r="WSD267" s="651"/>
      <c r="WSE267" s="691"/>
      <c r="WSF267" s="651"/>
      <c r="WSG267" s="691"/>
      <c r="WSH267" s="651"/>
      <c r="WSI267" s="691"/>
      <c r="WSJ267" s="651"/>
      <c r="WSK267" s="691"/>
      <c r="WSL267" s="651"/>
      <c r="WSM267" s="691"/>
      <c r="WSN267" s="651"/>
      <c r="WSO267" s="691"/>
      <c r="WSP267" s="651"/>
      <c r="WSQ267" s="691"/>
      <c r="WSR267" s="651"/>
      <c r="WSS267" s="691"/>
      <c r="WST267" s="651"/>
      <c r="WSU267" s="691"/>
      <c r="WSV267" s="651"/>
      <c r="WSW267" s="691"/>
      <c r="WSX267" s="651"/>
      <c r="WSY267" s="691"/>
      <c r="WSZ267" s="651"/>
      <c r="WTA267" s="691"/>
      <c r="WTB267" s="651"/>
      <c r="WTC267" s="691"/>
      <c r="WTD267" s="651"/>
      <c r="WTE267" s="691"/>
      <c r="WTF267" s="651"/>
      <c r="WTG267" s="691"/>
      <c r="WTH267" s="651"/>
      <c r="WTI267" s="691"/>
      <c r="WTJ267" s="651"/>
      <c r="WTK267" s="691"/>
      <c r="WTL267" s="651"/>
      <c r="WTM267" s="691"/>
      <c r="WTN267" s="651"/>
      <c r="WTO267" s="691"/>
      <c r="WTP267" s="651"/>
      <c r="WTQ267" s="691"/>
      <c r="WTR267" s="651"/>
      <c r="WTS267" s="691"/>
      <c r="WTT267" s="651"/>
      <c r="WTU267" s="691"/>
      <c r="WTV267" s="651"/>
      <c r="WTW267" s="691"/>
      <c r="WTX267" s="651"/>
      <c r="WTY267" s="691"/>
      <c r="WTZ267" s="651"/>
      <c r="WUA267" s="691"/>
      <c r="WUB267" s="651"/>
      <c r="WUC267" s="691"/>
      <c r="WUD267" s="651"/>
      <c r="WUE267" s="691"/>
      <c r="WUF267" s="651"/>
      <c r="WUG267" s="691"/>
      <c r="WUH267" s="651"/>
      <c r="WUI267" s="691"/>
      <c r="WUJ267" s="651"/>
      <c r="WUK267" s="691"/>
      <c r="WUL267" s="651"/>
      <c r="WUM267" s="691"/>
      <c r="WUN267" s="651"/>
      <c r="WUO267" s="691"/>
      <c r="WUP267" s="651"/>
      <c r="WUQ267" s="691"/>
      <c r="WUR267" s="651"/>
      <c r="WUS267" s="691"/>
      <c r="WUT267" s="651"/>
      <c r="WUU267" s="691"/>
      <c r="WUV267" s="651"/>
      <c r="WUW267" s="691"/>
      <c r="WUX267" s="651"/>
      <c r="WUY267" s="691"/>
      <c r="WUZ267" s="651"/>
      <c r="WVA267" s="691"/>
      <c r="WVB267" s="651"/>
      <c r="WVC267" s="691"/>
      <c r="WVD267" s="651"/>
      <c r="WVE267" s="691"/>
      <c r="WVF267" s="651"/>
      <c r="WVG267" s="691"/>
      <c r="WVH267" s="651"/>
      <c r="WVI267" s="691"/>
      <c r="WVJ267" s="651"/>
      <c r="WVK267" s="691"/>
      <c r="WVL267" s="651"/>
      <c r="WVM267" s="691"/>
      <c r="WVN267" s="651"/>
      <c r="WVO267" s="691"/>
      <c r="WVP267" s="651"/>
      <c r="WVQ267" s="691"/>
      <c r="WVR267" s="651"/>
      <c r="WVS267" s="691"/>
      <c r="WVT267" s="651"/>
      <c r="WVU267" s="691"/>
      <c r="WVV267" s="651"/>
      <c r="WVW267" s="691"/>
      <c r="WVX267" s="651"/>
      <c r="WVY267" s="691"/>
      <c r="WVZ267" s="651"/>
      <c r="WWA267" s="691"/>
      <c r="WWB267" s="651"/>
      <c r="WWC267" s="691"/>
      <c r="WWD267" s="651"/>
      <c r="WWE267" s="691"/>
      <c r="WWF267" s="651"/>
      <c r="WWG267" s="691"/>
      <c r="WWH267" s="651"/>
      <c r="WWI267" s="691"/>
      <c r="WWJ267" s="651"/>
      <c r="WWK267" s="691"/>
      <c r="WWL267" s="651"/>
      <c r="WWM267" s="691"/>
      <c r="WWN267" s="651"/>
      <c r="WWO267" s="691"/>
      <c r="WWP267" s="651"/>
      <c r="WWQ267" s="691"/>
      <c r="WWR267" s="651"/>
      <c r="WWS267" s="691"/>
      <c r="WWT267" s="651"/>
      <c r="WWU267" s="691"/>
      <c r="WWV267" s="651"/>
      <c r="WWW267" s="691"/>
      <c r="WWX267" s="651"/>
      <c r="WWY267" s="691"/>
      <c r="WWZ267" s="651"/>
      <c r="WXA267" s="691"/>
      <c r="WXB267" s="651"/>
      <c r="WXC267" s="691"/>
      <c r="WXD267" s="651"/>
      <c r="WXE267" s="691"/>
      <c r="WXF267" s="651"/>
      <c r="WXG267" s="691"/>
      <c r="WXH267" s="651"/>
      <c r="WXI267" s="691"/>
      <c r="WXJ267" s="651"/>
      <c r="WXK267" s="691"/>
      <c r="WXL267" s="651"/>
      <c r="WXM267" s="691"/>
      <c r="WXN267" s="651"/>
      <c r="WXO267" s="691"/>
      <c r="WXP267" s="651"/>
      <c r="WXQ267" s="691"/>
      <c r="WXR267" s="651"/>
      <c r="WXS267" s="691"/>
      <c r="WXT267" s="651"/>
      <c r="WXU267" s="691"/>
      <c r="WXV267" s="651"/>
      <c r="WXW267" s="691"/>
      <c r="WXX267" s="651"/>
      <c r="WXY267" s="691"/>
      <c r="WXZ267" s="651"/>
      <c r="WYA267" s="691"/>
      <c r="WYB267" s="651"/>
      <c r="WYC267" s="691"/>
      <c r="WYD267" s="651"/>
      <c r="WYE267" s="691"/>
      <c r="WYF267" s="651"/>
      <c r="WYG267" s="691"/>
      <c r="WYH267" s="651"/>
      <c r="WYI267" s="691"/>
      <c r="WYJ267" s="651"/>
      <c r="WYK267" s="691"/>
      <c r="WYL267" s="651"/>
      <c r="WYM267" s="691"/>
      <c r="WYN267" s="651"/>
      <c r="WYO267" s="691"/>
      <c r="WYP267" s="651"/>
      <c r="WYQ267" s="691"/>
      <c r="WYR267" s="651"/>
      <c r="WYS267" s="691"/>
      <c r="WYT267" s="651"/>
      <c r="WYU267" s="691"/>
      <c r="WYV267" s="651"/>
      <c r="WYW267" s="691"/>
      <c r="WYX267" s="651"/>
      <c r="WYY267" s="691"/>
      <c r="WYZ267" s="651"/>
      <c r="WZA267" s="691"/>
      <c r="WZB267" s="651"/>
      <c r="WZC267" s="691"/>
      <c r="WZD267" s="651"/>
      <c r="WZE267" s="691"/>
      <c r="WZF267" s="651"/>
      <c r="WZG267" s="691"/>
      <c r="WZH267" s="651"/>
      <c r="WZI267" s="691"/>
      <c r="WZJ267" s="651"/>
      <c r="WZK267" s="691"/>
      <c r="WZL267" s="651"/>
      <c r="WZM267" s="691"/>
      <c r="WZN267" s="651"/>
      <c r="WZO267" s="691"/>
      <c r="WZP267" s="651"/>
      <c r="WZQ267" s="691"/>
      <c r="WZR267" s="651"/>
      <c r="WZS267" s="691"/>
      <c r="WZT267" s="651"/>
      <c r="WZU267" s="691"/>
      <c r="WZV267" s="651"/>
      <c r="WZW267" s="691"/>
      <c r="WZX267" s="651"/>
      <c r="WZY267" s="691"/>
      <c r="WZZ267" s="651"/>
      <c r="XAA267" s="691"/>
      <c r="XAB267" s="651"/>
      <c r="XAC267" s="691"/>
      <c r="XAD267" s="651"/>
      <c r="XAE267" s="691"/>
      <c r="XAF267" s="651"/>
      <c r="XAG267" s="691"/>
      <c r="XAH267" s="651"/>
      <c r="XAI267" s="691"/>
      <c r="XAJ267" s="651"/>
      <c r="XAK267" s="691"/>
      <c r="XAL267" s="651"/>
      <c r="XAM267" s="691"/>
      <c r="XAN267" s="651"/>
      <c r="XAO267" s="691"/>
      <c r="XAP267" s="651"/>
      <c r="XAQ267" s="691"/>
      <c r="XAR267" s="651"/>
      <c r="XAS267" s="691"/>
      <c r="XAT267" s="651"/>
      <c r="XAU267" s="691"/>
      <c r="XAV267" s="651"/>
      <c r="XAW267" s="691"/>
      <c r="XAX267" s="651"/>
      <c r="XAY267" s="691"/>
      <c r="XAZ267" s="651"/>
      <c r="XBA267" s="691"/>
      <c r="XBB267" s="651"/>
      <c r="XBC267" s="691"/>
      <c r="XBD267" s="651"/>
      <c r="XBE267" s="691"/>
      <c r="XBF267" s="651"/>
      <c r="XBG267" s="691"/>
      <c r="XBH267" s="651"/>
      <c r="XBI267" s="691"/>
      <c r="XBJ267" s="651"/>
      <c r="XBK267" s="691"/>
      <c r="XBL267" s="651"/>
      <c r="XBM267" s="691"/>
      <c r="XBN267" s="651"/>
      <c r="XBO267" s="691"/>
      <c r="XBP267" s="651"/>
      <c r="XBQ267" s="691"/>
      <c r="XBR267" s="651"/>
      <c r="XBS267" s="691"/>
      <c r="XBT267" s="651"/>
      <c r="XBU267" s="691"/>
      <c r="XBV267" s="651"/>
      <c r="XBW267" s="691"/>
      <c r="XBX267" s="651"/>
      <c r="XBY267" s="691"/>
      <c r="XBZ267" s="651"/>
      <c r="XCA267" s="691"/>
      <c r="XCB267" s="651"/>
      <c r="XCC267" s="691"/>
      <c r="XCD267" s="651"/>
      <c r="XCE267" s="691"/>
      <c r="XCF267" s="651"/>
      <c r="XCG267" s="691"/>
      <c r="XCH267" s="651"/>
      <c r="XCI267" s="691"/>
      <c r="XCJ267" s="651"/>
      <c r="XCK267" s="691"/>
      <c r="XCL267" s="651"/>
      <c r="XCM267" s="691"/>
      <c r="XCN267" s="651"/>
      <c r="XCO267" s="691"/>
      <c r="XCP267" s="651"/>
      <c r="XCQ267" s="691"/>
      <c r="XCR267" s="651"/>
      <c r="XCS267" s="691"/>
      <c r="XCT267" s="651"/>
      <c r="XCU267" s="691"/>
      <c r="XCV267" s="651"/>
      <c r="XCW267" s="691"/>
      <c r="XCX267" s="651"/>
      <c r="XCY267" s="691"/>
      <c r="XCZ267" s="651"/>
      <c r="XDA267" s="691"/>
      <c r="XDB267" s="651"/>
      <c r="XDC267" s="691"/>
      <c r="XDD267" s="651"/>
      <c r="XDE267" s="691"/>
      <c r="XDF267" s="651"/>
      <c r="XDG267" s="691"/>
      <c r="XDH267" s="651"/>
      <c r="XDI267" s="691"/>
      <c r="XDJ267" s="651"/>
      <c r="XDK267" s="691"/>
      <c r="XDL267" s="651"/>
      <c r="XDM267" s="691"/>
      <c r="XDN267" s="651"/>
      <c r="XDO267" s="691"/>
      <c r="XDP267" s="651"/>
      <c r="XDQ267" s="691"/>
      <c r="XDR267" s="651"/>
      <c r="XDS267" s="691"/>
      <c r="XDT267" s="651"/>
      <c r="XDU267" s="691"/>
      <c r="XDV267" s="651"/>
      <c r="XDW267" s="691"/>
      <c r="XDX267" s="651"/>
      <c r="XDY267" s="691"/>
      <c r="XDZ267" s="651"/>
      <c r="XEA267" s="691"/>
      <c r="XEB267" s="651"/>
      <c r="XEC267" s="691"/>
      <c r="XED267" s="651"/>
      <c r="XEE267" s="691"/>
      <c r="XEF267" s="651"/>
      <c r="XEG267" s="691"/>
      <c r="XEH267" s="651"/>
      <c r="XEI267" s="691"/>
      <c r="XEJ267" s="651"/>
      <c r="XEK267" s="691"/>
      <c r="XEL267" s="651"/>
      <c r="XEM267" s="691"/>
      <c r="XEN267" s="651"/>
      <c r="XEO267" s="691"/>
      <c r="XEP267" s="651"/>
      <c r="XEQ267" s="691"/>
      <c r="XER267" s="651"/>
      <c r="XES267" s="691"/>
      <c r="XET267" s="651"/>
      <c r="XEU267" s="691"/>
      <c r="XEV267" s="651"/>
      <c r="XEW267" s="691"/>
      <c r="XEX267" s="651"/>
      <c r="XEY267" s="691"/>
      <c r="XEZ267" s="651"/>
      <c r="XFA267" s="691"/>
      <c r="XFB267" s="651"/>
      <c r="XFC267" s="691"/>
      <c r="XFD267" s="651"/>
    </row>
    <row r="268" s="625" customFormat="1" ht="12" spans="1:13">
      <c r="A268" s="692"/>
      <c r="B268" s="669"/>
      <c r="C268" s="692"/>
      <c r="D268" s="669"/>
      <c r="E268" s="675"/>
      <c r="F268" s="690"/>
      <c r="G268" s="693"/>
      <c r="H268" s="654"/>
      <c r="M268" s="695"/>
    </row>
    <row r="269" s="625" customFormat="1" ht="12" spans="1:13">
      <c r="A269" s="647"/>
      <c r="B269" s="641">
        <v>15</v>
      </c>
      <c r="C269" s="646" t="s">
        <v>440</v>
      </c>
      <c r="D269" s="647"/>
      <c r="E269" s="674"/>
      <c r="F269" s="674"/>
      <c r="G269" s="649">
        <f>SUM(G270:G279)</f>
        <v>8499.91</v>
      </c>
      <c r="H269" s="654"/>
      <c r="M269" s="695">
        <f t="shared" ref="M269:M295" si="37">$F$432</f>
        <v>997182.95</v>
      </c>
    </row>
    <row r="270" s="625" customFormat="1" ht="12" spans="1:13">
      <c r="A270" s="691" t="s">
        <v>441</v>
      </c>
      <c r="B270" s="651" t="s">
        <v>442</v>
      </c>
      <c r="C270" s="650" t="s">
        <v>443</v>
      </c>
      <c r="D270" s="651" t="s">
        <v>20</v>
      </c>
      <c r="E270" s="432">
        <f>'PB VI - Memorial'!G488</f>
        <v>6</v>
      </c>
      <c r="F270" s="670">
        <v>306.3</v>
      </c>
      <c r="G270" s="652">
        <f t="shared" ref="G270:G279" si="38">ROUND(E270*F270,2)</f>
        <v>1837.8</v>
      </c>
      <c r="H270" s="654"/>
      <c r="M270" s="695">
        <f t="shared" si="37"/>
        <v>997182.95</v>
      </c>
    </row>
    <row r="271" s="625" customFormat="1" ht="12" spans="1:13">
      <c r="A271" s="691" t="s">
        <v>444</v>
      </c>
      <c r="B271" s="651" t="s">
        <v>445</v>
      </c>
      <c r="C271" s="692" t="s">
        <v>446</v>
      </c>
      <c r="D271" s="669" t="s">
        <v>20</v>
      </c>
      <c r="E271" s="432">
        <f>'PB VI - Memorial'!G492</f>
        <v>2</v>
      </c>
      <c r="F271" s="670">
        <v>377.85</v>
      </c>
      <c r="G271" s="693">
        <f t="shared" si="38"/>
        <v>755.7</v>
      </c>
      <c r="H271" s="654"/>
      <c r="M271" s="695">
        <f t="shared" si="37"/>
        <v>997182.95</v>
      </c>
    </row>
    <row r="272" s="625" customFormat="1" ht="12" spans="1:13">
      <c r="A272" s="669">
        <v>86941</v>
      </c>
      <c r="B272" s="651" t="s">
        <v>447</v>
      </c>
      <c r="C272" s="692" t="s">
        <v>448</v>
      </c>
      <c r="D272" s="669" t="s">
        <v>20</v>
      </c>
      <c r="E272" s="432">
        <f>'PB VI - Memorial'!G485</f>
        <v>7</v>
      </c>
      <c r="F272" s="670">
        <v>440.73</v>
      </c>
      <c r="G272" s="693">
        <f t="shared" si="38"/>
        <v>3085.11</v>
      </c>
      <c r="H272" s="654"/>
      <c r="M272" s="695">
        <f t="shared" si="37"/>
        <v>997182.95</v>
      </c>
    </row>
    <row r="273" s="625" customFormat="1" ht="56.25" spans="1:13">
      <c r="A273" s="669" t="str">
        <f>'PB VIII - Composições Auxilia'!A60</f>
        <v>COMP. 08 - DPE</v>
      </c>
      <c r="B273" s="651" t="s">
        <v>449</v>
      </c>
      <c r="C273" s="650" t="s">
        <v>450</v>
      </c>
      <c r="D273" s="669" t="s">
        <v>20</v>
      </c>
      <c r="E273" s="432">
        <f>'PB VI - Memorial'!G486</f>
        <v>1</v>
      </c>
      <c r="F273" s="653">
        <f>'PB VIII - Composições Auxilia'!F74</f>
        <v>809.4</v>
      </c>
      <c r="G273" s="693">
        <f t="shared" si="38"/>
        <v>809.4</v>
      </c>
      <c r="H273" s="654"/>
      <c r="M273" s="695">
        <f t="shared" si="37"/>
        <v>997182.95</v>
      </c>
    </row>
    <row r="274" s="625" customFormat="1" ht="33.75" spans="1:13">
      <c r="A274" s="669" t="str">
        <f>'PB VIII - Composições Auxilia'!A76</f>
        <v>COMP. 09 - DPE</v>
      </c>
      <c r="B274" s="651" t="s">
        <v>451</v>
      </c>
      <c r="C274" s="650" t="s">
        <v>452</v>
      </c>
      <c r="D274" s="669" t="s">
        <v>20</v>
      </c>
      <c r="E274" s="432">
        <f>'PB VI - Memorial'!G489</f>
        <v>1</v>
      </c>
      <c r="F274" s="653">
        <f>'PB VIII - Composições Auxilia'!F87</f>
        <v>742.05</v>
      </c>
      <c r="G274" s="693">
        <f t="shared" si="38"/>
        <v>742.05</v>
      </c>
      <c r="H274" s="654"/>
      <c r="M274" s="695">
        <f t="shared" si="37"/>
        <v>997182.95</v>
      </c>
    </row>
    <row r="275" s="625" customFormat="1" ht="12" spans="1:13">
      <c r="A275" s="669">
        <v>95544</v>
      </c>
      <c r="B275" s="651" t="s">
        <v>453</v>
      </c>
      <c r="C275" s="431" t="s">
        <v>454</v>
      </c>
      <c r="D275" s="669" t="s">
        <v>20</v>
      </c>
      <c r="E275" s="432">
        <f>'PB VI - Memorial'!G498</f>
        <v>13</v>
      </c>
      <c r="F275" s="670">
        <v>21.72</v>
      </c>
      <c r="G275" s="693">
        <f t="shared" si="38"/>
        <v>282.36</v>
      </c>
      <c r="H275" s="654"/>
      <c r="M275" s="695">
        <f t="shared" si="37"/>
        <v>997182.95</v>
      </c>
    </row>
    <row r="276" s="625" customFormat="1" ht="33.75" spans="1:13">
      <c r="A276" s="669">
        <v>11758</v>
      </c>
      <c r="B276" s="651" t="s">
        <v>455</v>
      </c>
      <c r="C276" s="431" t="s">
        <v>456</v>
      </c>
      <c r="D276" s="669" t="s">
        <v>20</v>
      </c>
      <c r="E276" s="432">
        <f>'PB VI - Memorial'!G495</f>
        <v>6</v>
      </c>
      <c r="F276" s="670">
        <v>34.89</v>
      </c>
      <c r="G276" s="693">
        <f t="shared" si="38"/>
        <v>209.34</v>
      </c>
      <c r="H276" s="654"/>
      <c r="M276" s="695">
        <f t="shared" si="37"/>
        <v>997182.95</v>
      </c>
    </row>
    <row r="277" s="625" customFormat="1" ht="22.5" spans="1:13">
      <c r="A277" s="669">
        <v>85005</v>
      </c>
      <c r="B277" s="651" t="s">
        <v>457</v>
      </c>
      <c r="C277" s="431" t="s">
        <v>458</v>
      </c>
      <c r="D277" s="669" t="s">
        <v>17</v>
      </c>
      <c r="E277" s="432">
        <f>0.5*0.5*3</f>
        <v>0.75</v>
      </c>
      <c r="F277" s="670">
        <v>238.56</v>
      </c>
      <c r="G277" s="693">
        <f t="shared" si="38"/>
        <v>178.92</v>
      </c>
      <c r="H277" s="654"/>
      <c r="M277" s="695">
        <f t="shared" si="37"/>
        <v>997182.95</v>
      </c>
    </row>
    <row r="278" s="625" customFormat="1" ht="22.5" spans="1:13">
      <c r="A278" s="669">
        <v>86889</v>
      </c>
      <c r="B278" s="651" t="s">
        <v>459</v>
      </c>
      <c r="C278" s="431" t="s">
        <v>460</v>
      </c>
      <c r="D278" s="669" t="s">
        <v>20</v>
      </c>
      <c r="E278" s="432">
        <v>1</v>
      </c>
      <c r="F278" s="670">
        <v>535.94</v>
      </c>
      <c r="G278" s="693">
        <f t="shared" si="38"/>
        <v>535.94</v>
      </c>
      <c r="H278" s="654"/>
      <c r="M278" s="695">
        <f t="shared" si="37"/>
        <v>997182.95</v>
      </c>
    </row>
    <row r="279" s="625" customFormat="1" ht="22.5" spans="1:13">
      <c r="A279" s="669">
        <v>86910</v>
      </c>
      <c r="B279" s="651" t="s">
        <v>461</v>
      </c>
      <c r="C279" s="431" t="s">
        <v>462</v>
      </c>
      <c r="D279" s="669" t="s">
        <v>20</v>
      </c>
      <c r="E279" s="432">
        <v>1</v>
      </c>
      <c r="F279" s="670">
        <v>63.29</v>
      </c>
      <c r="G279" s="693">
        <f t="shared" si="38"/>
        <v>63.29</v>
      </c>
      <c r="H279" s="654"/>
      <c r="M279" s="695">
        <f t="shared" si="37"/>
        <v>997182.95</v>
      </c>
    </row>
    <row r="280" s="625" customFormat="1" ht="12" spans="1:13">
      <c r="A280" s="669"/>
      <c r="B280" s="669"/>
      <c r="C280" s="431"/>
      <c r="D280" s="669"/>
      <c r="E280" s="432"/>
      <c r="F280" s="670"/>
      <c r="G280" s="693"/>
      <c r="H280" s="654"/>
      <c r="M280" s="695">
        <f t="shared" si="37"/>
        <v>997182.95</v>
      </c>
    </row>
    <row r="281" s="625" customFormat="1" ht="12" spans="1:13">
      <c r="A281" s="647"/>
      <c r="B281" s="641">
        <v>16</v>
      </c>
      <c r="C281" s="646" t="s">
        <v>463</v>
      </c>
      <c r="D281" s="647"/>
      <c r="E281" s="674"/>
      <c r="F281" s="674"/>
      <c r="G281" s="649">
        <f>SUM(G283:G294)</f>
        <v>9632.8</v>
      </c>
      <c r="H281" s="654"/>
      <c r="M281" s="695">
        <f t="shared" si="37"/>
        <v>997182.95</v>
      </c>
    </row>
    <row r="282" s="625" customFormat="1" ht="12" spans="1:13">
      <c r="A282" s="650"/>
      <c r="B282" s="655" t="s">
        <v>12</v>
      </c>
      <c r="C282" s="433" t="s">
        <v>464</v>
      </c>
      <c r="D282" s="651"/>
      <c r="E282" s="432"/>
      <c r="F282" s="670"/>
      <c r="G282" s="652"/>
      <c r="H282" s="654"/>
      <c r="M282" s="695">
        <f t="shared" si="37"/>
        <v>997182.95</v>
      </c>
    </row>
    <row r="283" s="625" customFormat="1" ht="12" spans="1:13">
      <c r="A283" s="691" t="s">
        <v>465</v>
      </c>
      <c r="B283" s="651" t="s">
        <v>466</v>
      </c>
      <c r="C283" s="431" t="s">
        <v>467</v>
      </c>
      <c r="D283" s="651" t="s">
        <v>95</v>
      </c>
      <c r="E283" s="432">
        <f>'PB VI - Memorial'!G503</f>
        <v>32.63</v>
      </c>
      <c r="F283" s="432">
        <v>41.46</v>
      </c>
      <c r="G283" s="652">
        <f>ROUND(E283*F283,2)</f>
        <v>1352.84</v>
      </c>
      <c r="H283" s="654"/>
      <c r="M283" s="695">
        <f t="shared" si="37"/>
        <v>997182.95</v>
      </c>
    </row>
    <row r="284" s="625" customFormat="1" ht="12" spans="1:13">
      <c r="A284" s="651">
        <v>366</v>
      </c>
      <c r="B284" s="651" t="s">
        <v>468</v>
      </c>
      <c r="C284" s="431" t="s">
        <v>469</v>
      </c>
      <c r="D284" s="651" t="s">
        <v>23</v>
      </c>
      <c r="E284" s="432">
        <f>'PB VI - Memorial'!G507</f>
        <v>1.32</v>
      </c>
      <c r="F284" s="432">
        <v>37.17</v>
      </c>
      <c r="G284" s="652">
        <f t="shared" ref="G284:G289" si="39">ROUND(E284*F284,2)</f>
        <v>49.06</v>
      </c>
      <c r="H284" s="654"/>
      <c r="M284" s="695">
        <f t="shared" si="37"/>
        <v>997182.95</v>
      </c>
    </row>
    <row r="285" s="625" customFormat="1" ht="12" spans="1:13">
      <c r="A285" s="651">
        <v>87503</v>
      </c>
      <c r="B285" s="651" t="s">
        <v>470</v>
      </c>
      <c r="C285" s="431" t="s">
        <v>471</v>
      </c>
      <c r="D285" s="651" t="s">
        <v>17</v>
      </c>
      <c r="E285" s="432">
        <f>'PB VI - Memorial'!D508</f>
        <v>22.59</v>
      </c>
      <c r="F285" s="432">
        <v>50.55</v>
      </c>
      <c r="G285" s="652">
        <f t="shared" si="39"/>
        <v>1141.92</v>
      </c>
      <c r="H285" s="654"/>
      <c r="M285" s="695">
        <f t="shared" si="37"/>
        <v>997182.95</v>
      </c>
    </row>
    <row r="286" s="625" customFormat="1" ht="12" spans="1:13">
      <c r="A286" s="651">
        <v>87879</v>
      </c>
      <c r="B286" s="651" t="s">
        <v>472</v>
      </c>
      <c r="C286" s="431" t="s">
        <v>473</v>
      </c>
      <c r="D286" s="651" t="s">
        <v>17</v>
      </c>
      <c r="E286" s="432">
        <f>'PB VI - Memorial'!D509</f>
        <v>45.18</v>
      </c>
      <c r="F286" s="432">
        <v>3.05</v>
      </c>
      <c r="G286" s="652">
        <f t="shared" si="39"/>
        <v>137.8</v>
      </c>
      <c r="H286" s="654"/>
      <c r="M286" s="695">
        <f t="shared" si="37"/>
        <v>997182.95</v>
      </c>
    </row>
    <row r="287" s="625" customFormat="1" ht="22.5" spans="1:13">
      <c r="A287" s="651" t="str">
        <f>'PB VIII - Composições Auxilia'!A89</f>
        <v>COMP. 10 - DPE</v>
      </c>
      <c r="B287" s="651" t="s">
        <v>474</v>
      </c>
      <c r="C287" s="431" t="s">
        <v>475</v>
      </c>
      <c r="D287" s="651" t="s">
        <v>95</v>
      </c>
      <c r="E287" s="432">
        <f>'PB VI - Memorial'!G511</f>
        <v>48.97</v>
      </c>
      <c r="F287" s="432">
        <f>'PB VIII - Composições Auxilia'!F100</f>
        <v>91.86</v>
      </c>
      <c r="G287" s="652">
        <f t="shared" si="39"/>
        <v>4498.38</v>
      </c>
      <c r="H287" s="654"/>
      <c r="M287" s="695">
        <f t="shared" si="37"/>
        <v>997182.95</v>
      </c>
    </row>
    <row r="288" s="625" customFormat="1" ht="22.5" spans="1:13">
      <c r="A288" s="651" t="str">
        <f>'PB VIII - Composições Auxilia'!A103</f>
        <v>COMP. 11 - DPE</v>
      </c>
      <c r="B288" s="651" t="s">
        <v>476</v>
      </c>
      <c r="C288" s="431" t="s">
        <v>477</v>
      </c>
      <c r="D288" s="651" t="s">
        <v>95</v>
      </c>
      <c r="E288" s="432">
        <f>'PB VI - Memorial'!G512</f>
        <v>12.925</v>
      </c>
      <c r="F288" s="432">
        <f>'PB VIII - Composições Auxilia'!F114</f>
        <v>117.95</v>
      </c>
      <c r="G288" s="652">
        <f t="shared" ref="G288" si="40">ROUND(E288*F288,2)</f>
        <v>1524.5</v>
      </c>
      <c r="H288" s="654"/>
      <c r="M288" s="695">
        <f t="shared" si="37"/>
        <v>997182.95</v>
      </c>
    </row>
    <row r="289" s="625" customFormat="1" ht="12" spans="1:13">
      <c r="A289" s="651">
        <v>11708</v>
      </c>
      <c r="B289" s="651" t="s">
        <v>478</v>
      </c>
      <c r="C289" s="431" t="s">
        <v>479</v>
      </c>
      <c r="D289" s="651" t="s">
        <v>20</v>
      </c>
      <c r="E289" s="432">
        <f>'PB VI - Memorial'!D514</f>
        <v>7</v>
      </c>
      <c r="F289" s="432">
        <v>13</v>
      </c>
      <c r="G289" s="652">
        <f t="shared" si="39"/>
        <v>91</v>
      </c>
      <c r="H289" s="654"/>
      <c r="M289" s="695">
        <f t="shared" si="37"/>
        <v>997182.95</v>
      </c>
    </row>
    <row r="290" s="625" customFormat="1" ht="12" spans="1:13">
      <c r="A290" s="651"/>
      <c r="B290" s="651"/>
      <c r="C290" s="431"/>
      <c r="D290" s="651"/>
      <c r="E290" s="432"/>
      <c r="F290" s="653"/>
      <c r="G290" s="652"/>
      <c r="H290" s="654"/>
      <c r="M290" s="695">
        <f t="shared" si="37"/>
        <v>997182.95</v>
      </c>
    </row>
    <row r="291" s="625" customFormat="1" ht="12" spans="1:13">
      <c r="A291" s="651"/>
      <c r="B291" s="655" t="s">
        <v>31</v>
      </c>
      <c r="C291" s="433" t="s">
        <v>480</v>
      </c>
      <c r="D291" s="651"/>
      <c r="E291" s="432"/>
      <c r="F291" s="653"/>
      <c r="G291" s="652"/>
      <c r="H291" s="654"/>
      <c r="M291" s="695">
        <f t="shared" si="37"/>
        <v>997182.95</v>
      </c>
    </row>
    <row r="292" s="625" customFormat="1" ht="12" spans="1:13">
      <c r="A292" s="651">
        <v>89865</v>
      </c>
      <c r="B292" s="651" t="s">
        <v>481</v>
      </c>
      <c r="C292" s="431" t="s">
        <v>482</v>
      </c>
      <c r="D292" s="651" t="s">
        <v>95</v>
      </c>
      <c r="E292" s="432">
        <f>'PB VI - Memorial'!G517</f>
        <v>30</v>
      </c>
      <c r="F292" s="432">
        <v>8.67</v>
      </c>
      <c r="G292" s="652">
        <f>ROUND(E292*F292,2)</f>
        <v>260.1</v>
      </c>
      <c r="H292" s="654"/>
      <c r="M292" s="695">
        <f t="shared" si="37"/>
        <v>997182.95</v>
      </c>
    </row>
    <row r="293" s="625" customFormat="1" ht="12" spans="1:13">
      <c r="A293" s="651">
        <v>90443</v>
      </c>
      <c r="B293" s="651" t="s">
        <v>483</v>
      </c>
      <c r="C293" s="650" t="s">
        <v>484</v>
      </c>
      <c r="D293" s="651" t="s">
        <v>95</v>
      </c>
      <c r="E293" s="432">
        <f>E292</f>
        <v>30</v>
      </c>
      <c r="F293" s="432">
        <v>9.58</v>
      </c>
      <c r="G293" s="652">
        <f t="shared" ref="G293:G294" si="41">ROUND(E293*F293,2)</f>
        <v>287.4</v>
      </c>
      <c r="H293" s="654"/>
      <c r="M293" s="695">
        <f t="shared" si="37"/>
        <v>997182.95</v>
      </c>
    </row>
    <row r="294" s="625" customFormat="1" ht="12" spans="1:13">
      <c r="A294" s="651">
        <v>90466</v>
      </c>
      <c r="B294" s="651" t="s">
        <v>485</v>
      </c>
      <c r="C294" s="650" t="s">
        <v>486</v>
      </c>
      <c r="D294" s="651" t="s">
        <v>95</v>
      </c>
      <c r="E294" s="432">
        <f>E293</f>
        <v>30</v>
      </c>
      <c r="F294" s="432">
        <v>9.66</v>
      </c>
      <c r="G294" s="652">
        <f t="shared" si="41"/>
        <v>289.8</v>
      </c>
      <c r="H294" s="654"/>
      <c r="M294" s="695">
        <f t="shared" si="37"/>
        <v>997182.95</v>
      </c>
    </row>
    <row r="295" s="625" customFormat="1" ht="12" spans="1:13">
      <c r="A295" s="651"/>
      <c r="B295" s="651"/>
      <c r="C295" s="650"/>
      <c r="D295" s="651"/>
      <c r="E295" s="432"/>
      <c r="F295" s="432"/>
      <c r="G295" s="652"/>
      <c r="H295" s="654"/>
      <c r="M295" s="695">
        <f t="shared" si="37"/>
        <v>997182.95</v>
      </c>
    </row>
    <row r="296" s="625" customFormat="1" ht="12" spans="1:13">
      <c r="A296" s="647"/>
      <c r="B296" s="641">
        <v>17</v>
      </c>
      <c r="C296" s="646" t="s">
        <v>487</v>
      </c>
      <c r="D296" s="647"/>
      <c r="E296" s="674"/>
      <c r="F296" s="674"/>
      <c r="G296" s="649">
        <f>SUM(G297:G303)</f>
        <v>1837.02</v>
      </c>
      <c r="H296" s="654"/>
      <c r="M296" s="695">
        <f t="shared" ref="M296:M359" si="42">$F$432</f>
        <v>997182.95</v>
      </c>
    </row>
    <row r="297" s="625" customFormat="1" ht="12" spans="1:13">
      <c r="A297" s="651">
        <v>37539</v>
      </c>
      <c r="B297" s="651" t="s">
        <v>488</v>
      </c>
      <c r="C297" s="431" t="s">
        <v>489</v>
      </c>
      <c r="D297" s="651" t="s">
        <v>20</v>
      </c>
      <c r="E297" s="432">
        <f>'PB VI - Memorial'!G521</f>
        <v>17</v>
      </c>
      <c r="F297" s="432">
        <v>20</v>
      </c>
      <c r="G297" s="652">
        <f>ROUND(E297*F297,2)</f>
        <v>340</v>
      </c>
      <c r="H297" s="654"/>
      <c r="M297" s="695">
        <f t="shared" si="42"/>
        <v>997182.95</v>
      </c>
    </row>
    <row r="298" s="625" customFormat="1" ht="12" spans="1:13">
      <c r="A298" s="651">
        <v>37539</v>
      </c>
      <c r="B298" s="651" t="s">
        <v>490</v>
      </c>
      <c r="C298" s="431" t="s">
        <v>491</v>
      </c>
      <c r="D298" s="651" t="s">
        <v>20</v>
      </c>
      <c r="E298" s="432">
        <f>'PB VI - Memorial'!G522</f>
        <v>4</v>
      </c>
      <c r="F298" s="432">
        <v>20</v>
      </c>
      <c r="G298" s="652">
        <f t="shared" ref="G298:G303" si="43">ROUND(E298*F298,2)</f>
        <v>80</v>
      </c>
      <c r="H298" s="654"/>
      <c r="M298" s="695">
        <f t="shared" si="42"/>
        <v>997182.95</v>
      </c>
    </row>
    <row r="299" s="625" customFormat="1" ht="12" spans="1:13">
      <c r="A299" s="651">
        <v>37539</v>
      </c>
      <c r="B299" s="651" t="s">
        <v>492</v>
      </c>
      <c r="C299" s="431" t="s">
        <v>493</v>
      </c>
      <c r="D299" s="651" t="s">
        <v>20</v>
      </c>
      <c r="E299" s="432">
        <f>'PB VI - Memorial'!G523</f>
        <v>4</v>
      </c>
      <c r="F299" s="432">
        <v>20</v>
      </c>
      <c r="G299" s="652">
        <f t="shared" si="43"/>
        <v>80</v>
      </c>
      <c r="H299" s="654"/>
      <c r="M299" s="695">
        <f t="shared" si="42"/>
        <v>997182.95</v>
      </c>
    </row>
    <row r="300" s="625" customFormat="1" ht="22.5" spans="1:13">
      <c r="A300" s="651">
        <v>84665</v>
      </c>
      <c r="B300" s="651" t="s">
        <v>494</v>
      </c>
      <c r="C300" s="431" t="s">
        <v>495</v>
      </c>
      <c r="D300" s="651" t="s">
        <v>17</v>
      </c>
      <c r="E300" s="432">
        <f>'PB VI - Memorial'!G524</f>
        <v>2</v>
      </c>
      <c r="F300" s="432">
        <v>16.36</v>
      </c>
      <c r="G300" s="652">
        <f t="shared" si="43"/>
        <v>32.72</v>
      </c>
      <c r="H300" s="654"/>
      <c r="M300" s="695">
        <f t="shared" si="42"/>
        <v>997182.95</v>
      </c>
    </row>
    <row r="301" s="625" customFormat="1" ht="22.5" spans="1:13">
      <c r="A301" s="651" t="s">
        <v>496</v>
      </c>
      <c r="B301" s="651" t="s">
        <v>497</v>
      </c>
      <c r="C301" s="431" t="s">
        <v>498</v>
      </c>
      <c r="D301" s="651" t="s">
        <v>20</v>
      </c>
      <c r="E301" s="432">
        <f>'PB VI - Memorial'!G525</f>
        <v>2</v>
      </c>
      <c r="F301" s="432">
        <v>11.95</v>
      </c>
      <c r="G301" s="652">
        <f t="shared" si="43"/>
        <v>23.9</v>
      </c>
      <c r="H301" s="654"/>
      <c r="M301" s="695">
        <f t="shared" si="42"/>
        <v>997182.95</v>
      </c>
    </row>
    <row r="302" s="625" customFormat="1" ht="22.5" spans="1:13">
      <c r="A302" s="651" t="s">
        <v>499</v>
      </c>
      <c r="B302" s="651" t="s">
        <v>500</v>
      </c>
      <c r="C302" s="431" t="s">
        <v>501</v>
      </c>
      <c r="D302" s="651" t="s">
        <v>20</v>
      </c>
      <c r="E302" s="432">
        <f>'PB VI - Memorial'!G526</f>
        <v>4</v>
      </c>
      <c r="F302" s="432">
        <v>216.09</v>
      </c>
      <c r="G302" s="652">
        <f t="shared" si="43"/>
        <v>864.36</v>
      </c>
      <c r="H302" s="654"/>
      <c r="M302" s="695">
        <f t="shared" si="42"/>
        <v>997182.95</v>
      </c>
    </row>
    <row r="303" s="625" customFormat="1" ht="22.5" spans="1:13">
      <c r="A303" s="651" t="str">
        <f>'PB VIII - Composições Auxilia'!A116</f>
        <v>COMP. 12 - DPE</v>
      </c>
      <c r="B303" s="651" t="s">
        <v>502</v>
      </c>
      <c r="C303" s="431" t="s">
        <v>503</v>
      </c>
      <c r="D303" s="651" t="s">
        <v>20</v>
      </c>
      <c r="E303" s="432">
        <f>'PB VI - Memorial'!G527</f>
        <v>12</v>
      </c>
      <c r="F303" s="432">
        <f>'PB VIII - Composições Auxilia'!F122</f>
        <v>34.67</v>
      </c>
      <c r="G303" s="652">
        <f t="shared" si="43"/>
        <v>416.04</v>
      </c>
      <c r="H303" s="654"/>
      <c r="M303" s="695">
        <f t="shared" si="42"/>
        <v>997182.95</v>
      </c>
    </row>
    <row r="304" s="625" customFormat="1" ht="12" spans="1:13">
      <c r="A304" s="651"/>
      <c r="B304" s="669"/>
      <c r="C304" s="431"/>
      <c r="D304" s="669"/>
      <c r="E304" s="675"/>
      <c r="F304" s="690"/>
      <c r="G304" s="693"/>
      <c r="H304" s="654"/>
      <c r="M304" s="695">
        <f t="shared" si="42"/>
        <v>997182.95</v>
      </c>
    </row>
    <row r="305" s="625" customFormat="1" ht="12" spans="1:13">
      <c r="A305" s="647"/>
      <c r="B305" s="641">
        <v>18</v>
      </c>
      <c r="C305" s="646" t="s">
        <v>504</v>
      </c>
      <c r="D305" s="647"/>
      <c r="E305" s="674"/>
      <c r="F305" s="674"/>
      <c r="G305" s="649">
        <f>SUM(G307:G363)</f>
        <v>52705.58</v>
      </c>
      <c r="H305" s="654"/>
      <c r="M305" s="695">
        <f t="shared" si="42"/>
        <v>997182.95</v>
      </c>
    </row>
    <row r="306" s="625" customFormat="1" ht="12" spans="1:13">
      <c r="A306" s="692"/>
      <c r="B306" s="680" t="s">
        <v>12</v>
      </c>
      <c r="C306" s="747" t="s">
        <v>505</v>
      </c>
      <c r="D306" s="669"/>
      <c r="E306" s="675"/>
      <c r="F306" s="690"/>
      <c r="G306" s="693"/>
      <c r="H306" s="654"/>
      <c r="M306" s="695">
        <f t="shared" si="42"/>
        <v>997182.95</v>
      </c>
    </row>
    <row r="307" s="625" customFormat="1" ht="22.5" spans="1:13">
      <c r="A307" s="669" t="str">
        <f>'PB VIII - Composições Auxilia'!A124</f>
        <v>COMP. 13 - DPE</v>
      </c>
      <c r="B307" s="651" t="s">
        <v>506</v>
      </c>
      <c r="C307" s="650" t="s">
        <v>507</v>
      </c>
      <c r="D307" s="651" t="s">
        <v>20</v>
      </c>
      <c r="E307" s="432">
        <v>63</v>
      </c>
      <c r="F307" s="432">
        <f>'PB VIII - Composições Auxilia'!F130</f>
        <v>233.52</v>
      </c>
      <c r="G307" s="693">
        <f>ROUND(E307*F307,2)</f>
        <v>14711.76</v>
      </c>
      <c r="H307" s="654"/>
      <c r="M307" s="695">
        <f t="shared" si="42"/>
        <v>997182.95</v>
      </c>
    </row>
    <row r="308" s="625" customFormat="1" ht="22.5" spans="1:13">
      <c r="A308" s="669" t="str">
        <f>'PB VIII - Composições Auxilia'!A132</f>
        <v>COMP. 14 - DPE</v>
      </c>
      <c r="B308" s="651" t="s">
        <v>508</v>
      </c>
      <c r="C308" s="650" t="s">
        <v>509</v>
      </c>
      <c r="D308" s="651" t="s">
        <v>20</v>
      </c>
      <c r="E308" s="432">
        <v>7</v>
      </c>
      <c r="F308" s="432">
        <f>'PB VIII - Composições Auxilia'!F138</f>
        <v>219.08</v>
      </c>
      <c r="G308" s="693">
        <f>ROUND(E308*F308,2)</f>
        <v>1533.56</v>
      </c>
      <c r="H308" s="654"/>
      <c r="M308" s="695">
        <f t="shared" si="42"/>
        <v>997182.95</v>
      </c>
    </row>
    <row r="309" s="625" customFormat="1" ht="22.5" spans="1:13">
      <c r="A309" s="651">
        <v>93043</v>
      </c>
      <c r="B309" s="651" t="s">
        <v>510</v>
      </c>
      <c r="C309" s="650" t="s">
        <v>511</v>
      </c>
      <c r="D309" s="651" t="s">
        <v>20</v>
      </c>
      <c r="E309" s="432">
        <v>1</v>
      </c>
      <c r="F309" s="432">
        <v>18.9</v>
      </c>
      <c r="G309" s="693">
        <f>F309</f>
        <v>18.9</v>
      </c>
      <c r="H309" s="654"/>
      <c r="M309" s="695">
        <f t="shared" si="42"/>
        <v>997182.95</v>
      </c>
    </row>
    <row r="310" s="625" customFormat="1" ht="33.75" spans="1:13">
      <c r="A310" s="651" t="str">
        <f>'PB VIII - Composições Auxilia'!A140</f>
        <v>COMP. 15 - DPE</v>
      </c>
      <c r="B310" s="651" t="s">
        <v>512</v>
      </c>
      <c r="C310" s="650" t="s">
        <v>513</v>
      </c>
      <c r="D310" s="651" t="s">
        <v>20</v>
      </c>
      <c r="E310" s="432">
        <v>1</v>
      </c>
      <c r="F310" s="432">
        <f>'PB VIII - Composições Auxilia'!F148</f>
        <v>1516.42</v>
      </c>
      <c r="G310" s="652">
        <f>ROUND(E310*F310,2)</f>
        <v>1516.42</v>
      </c>
      <c r="H310" s="654"/>
      <c r="M310" s="695">
        <f t="shared" si="42"/>
        <v>997182.95</v>
      </c>
    </row>
    <row r="311" s="625" customFormat="1" ht="33.75" spans="1:13">
      <c r="A311" s="651" t="str">
        <f>'PB VIII - Composições Auxilia'!A150</f>
        <v>COMP. 16 - DPE</v>
      </c>
      <c r="B311" s="651" t="s">
        <v>514</v>
      </c>
      <c r="C311" s="650" t="s">
        <v>515</v>
      </c>
      <c r="D311" s="651" t="s">
        <v>20</v>
      </c>
      <c r="E311" s="432">
        <v>6</v>
      </c>
      <c r="F311" s="432">
        <f>'PB VIII - Composições Auxilia'!F158</f>
        <v>1802.3</v>
      </c>
      <c r="G311" s="652">
        <f>ROUND(E311*F311,2)</f>
        <v>10813.8</v>
      </c>
      <c r="H311" s="654"/>
      <c r="M311" s="695">
        <f t="shared" si="42"/>
        <v>997182.95</v>
      </c>
    </row>
    <row r="312" s="625" customFormat="1" ht="22.5" spans="1:13">
      <c r="A312" s="669">
        <v>83399</v>
      </c>
      <c r="B312" s="651" t="s">
        <v>516</v>
      </c>
      <c r="C312" s="650" t="s">
        <v>517</v>
      </c>
      <c r="D312" s="651" t="s">
        <v>20</v>
      </c>
      <c r="E312" s="432">
        <v>7</v>
      </c>
      <c r="F312" s="432">
        <v>26.34</v>
      </c>
      <c r="G312" s="693">
        <f t="shared" ref="G312:G323" si="44">ROUND(E312*F312,2)</f>
        <v>184.38</v>
      </c>
      <c r="H312" s="654"/>
      <c r="M312" s="695">
        <f t="shared" si="42"/>
        <v>997182.95</v>
      </c>
    </row>
    <row r="313" s="625" customFormat="1" ht="22.5" spans="1:13">
      <c r="A313" s="669">
        <v>91992</v>
      </c>
      <c r="B313" s="651" t="s">
        <v>518</v>
      </c>
      <c r="C313" s="692" t="s">
        <v>519</v>
      </c>
      <c r="D313" s="651" t="s">
        <v>20</v>
      </c>
      <c r="E313" s="432">
        <v>12</v>
      </c>
      <c r="F313" s="432">
        <v>26.45</v>
      </c>
      <c r="G313" s="693">
        <f t="shared" si="44"/>
        <v>317.4</v>
      </c>
      <c r="H313" s="654"/>
      <c r="M313" s="695">
        <f t="shared" si="42"/>
        <v>997182.95</v>
      </c>
    </row>
    <row r="314" s="625" customFormat="1" ht="22.5" spans="1:13">
      <c r="A314" s="669">
        <v>91993</v>
      </c>
      <c r="B314" s="651" t="s">
        <v>520</v>
      </c>
      <c r="C314" s="692" t="s">
        <v>521</v>
      </c>
      <c r="D314" s="651" t="s">
        <v>20</v>
      </c>
      <c r="E314" s="432">
        <v>10</v>
      </c>
      <c r="F314" s="432">
        <v>27.67</v>
      </c>
      <c r="G314" s="693">
        <f t="shared" si="44"/>
        <v>276.7</v>
      </c>
      <c r="H314" s="654"/>
      <c r="M314" s="695">
        <f t="shared" si="42"/>
        <v>997182.95</v>
      </c>
    </row>
    <row r="315" s="625" customFormat="1" ht="22.5" spans="1:13">
      <c r="A315" s="669">
        <v>91996</v>
      </c>
      <c r="B315" s="651" t="s">
        <v>522</v>
      </c>
      <c r="C315" s="692" t="s">
        <v>523</v>
      </c>
      <c r="D315" s="651" t="s">
        <v>20</v>
      </c>
      <c r="E315" s="432">
        <v>2</v>
      </c>
      <c r="F315" s="432">
        <v>19.91</v>
      </c>
      <c r="G315" s="693">
        <f t="shared" si="44"/>
        <v>39.82</v>
      </c>
      <c r="H315" s="654"/>
      <c r="M315" s="695">
        <f t="shared" si="42"/>
        <v>997182.95</v>
      </c>
    </row>
    <row r="316" s="625" customFormat="1" ht="22.5" spans="1:13">
      <c r="A316" s="669">
        <v>91997</v>
      </c>
      <c r="B316" s="651" t="s">
        <v>524</v>
      </c>
      <c r="C316" s="692" t="s">
        <v>525</v>
      </c>
      <c r="D316" s="651" t="s">
        <v>20</v>
      </c>
      <c r="E316" s="432">
        <v>1</v>
      </c>
      <c r="F316" s="432">
        <v>21.13</v>
      </c>
      <c r="G316" s="693">
        <f t="shared" si="44"/>
        <v>21.13</v>
      </c>
      <c r="H316" s="654"/>
      <c r="M316" s="695">
        <f t="shared" si="42"/>
        <v>997182.95</v>
      </c>
    </row>
    <row r="317" s="625" customFormat="1" ht="22.5" spans="1:13">
      <c r="A317" s="669">
        <v>92005</v>
      </c>
      <c r="B317" s="651" t="s">
        <v>526</v>
      </c>
      <c r="C317" s="692" t="s">
        <v>527</v>
      </c>
      <c r="D317" s="651" t="s">
        <v>20</v>
      </c>
      <c r="E317" s="432">
        <v>4</v>
      </c>
      <c r="F317" s="432">
        <v>35.32</v>
      </c>
      <c r="G317" s="693">
        <f t="shared" si="44"/>
        <v>141.28</v>
      </c>
      <c r="H317" s="654"/>
      <c r="M317" s="695">
        <f t="shared" si="42"/>
        <v>997182.95</v>
      </c>
    </row>
    <row r="318" s="625" customFormat="1" ht="22.5" spans="1:13">
      <c r="A318" s="669">
        <v>91953</v>
      </c>
      <c r="B318" s="651" t="s">
        <v>528</v>
      </c>
      <c r="C318" s="692" t="s">
        <v>529</v>
      </c>
      <c r="D318" s="651" t="s">
        <v>20</v>
      </c>
      <c r="E318" s="432">
        <v>18</v>
      </c>
      <c r="F318" s="432">
        <v>16.5</v>
      </c>
      <c r="G318" s="693">
        <f t="shared" si="44"/>
        <v>297</v>
      </c>
      <c r="H318" s="654"/>
      <c r="M318" s="695">
        <f t="shared" si="42"/>
        <v>997182.95</v>
      </c>
    </row>
    <row r="319" s="625" customFormat="1" ht="22.5" spans="1:13">
      <c r="A319" s="669">
        <v>91959</v>
      </c>
      <c r="B319" s="651" t="s">
        <v>530</v>
      </c>
      <c r="C319" s="692" t="s">
        <v>531</v>
      </c>
      <c r="D319" s="651" t="s">
        <v>20</v>
      </c>
      <c r="E319" s="432">
        <v>1</v>
      </c>
      <c r="F319" s="432">
        <v>26.09</v>
      </c>
      <c r="G319" s="693">
        <f t="shared" si="44"/>
        <v>26.09</v>
      </c>
      <c r="H319" s="654"/>
      <c r="M319" s="695">
        <f t="shared" si="42"/>
        <v>997182.95</v>
      </c>
    </row>
    <row r="320" s="625" customFormat="1" ht="22.5" spans="1:13">
      <c r="A320" s="669">
        <v>91967</v>
      </c>
      <c r="B320" s="651" t="s">
        <v>532</v>
      </c>
      <c r="C320" s="692" t="s">
        <v>533</v>
      </c>
      <c r="D320" s="651" t="s">
        <v>20</v>
      </c>
      <c r="E320" s="432">
        <v>1</v>
      </c>
      <c r="F320" s="432">
        <v>35.67</v>
      </c>
      <c r="G320" s="693">
        <f t="shared" si="44"/>
        <v>35.67</v>
      </c>
      <c r="H320" s="654"/>
      <c r="M320" s="695">
        <f t="shared" si="42"/>
        <v>997182.95</v>
      </c>
    </row>
    <row r="321" s="625" customFormat="1" ht="22.5" spans="1:13">
      <c r="A321" s="669">
        <v>91961</v>
      </c>
      <c r="B321" s="651" t="s">
        <v>534</v>
      </c>
      <c r="C321" s="692" t="s">
        <v>535</v>
      </c>
      <c r="D321" s="651" t="s">
        <v>20</v>
      </c>
      <c r="E321" s="432">
        <v>2</v>
      </c>
      <c r="F321" s="432">
        <v>34.14</v>
      </c>
      <c r="G321" s="693">
        <f t="shared" si="44"/>
        <v>68.28</v>
      </c>
      <c r="H321" s="654"/>
      <c r="M321" s="695">
        <f t="shared" si="42"/>
        <v>997182.95</v>
      </c>
    </row>
    <row r="322" s="625" customFormat="1" ht="22.5" spans="1:13">
      <c r="A322" s="669">
        <v>92000</v>
      </c>
      <c r="B322" s="651" t="s">
        <v>536</v>
      </c>
      <c r="C322" s="692" t="s">
        <v>537</v>
      </c>
      <c r="D322" s="651" t="s">
        <v>20</v>
      </c>
      <c r="E322" s="432">
        <v>20</v>
      </c>
      <c r="F322" s="432">
        <v>17.37</v>
      </c>
      <c r="G322" s="693">
        <f t="shared" si="44"/>
        <v>347.4</v>
      </c>
      <c r="H322" s="654"/>
      <c r="M322" s="695">
        <f t="shared" si="42"/>
        <v>997182.95</v>
      </c>
    </row>
    <row r="323" s="625" customFormat="1" ht="22.5" spans="1:13">
      <c r="A323" s="669">
        <v>92008</v>
      </c>
      <c r="B323" s="651" t="s">
        <v>538</v>
      </c>
      <c r="C323" s="692" t="s">
        <v>539</v>
      </c>
      <c r="D323" s="651" t="s">
        <v>20</v>
      </c>
      <c r="E323" s="432">
        <v>21</v>
      </c>
      <c r="F323" s="432">
        <v>27.8</v>
      </c>
      <c r="G323" s="693">
        <f t="shared" si="44"/>
        <v>583.8</v>
      </c>
      <c r="H323" s="654"/>
      <c r="M323" s="695">
        <f t="shared" si="42"/>
        <v>997182.95</v>
      </c>
    </row>
    <row r="324" s="625" customFormat="1" ht="12" spans="1:13">
      <c r="A324" s="692"/>
      <c r="B324" s="680" t="s">
        <v>31</v>
      </c>
      <c r="C324" s="747" t="s">
        <v>540</v>
      </c>
      <c r="D324" s="669"/>
      <c r="E324" s="675"/>
      <c r="F324" s="432"/>
      <c r="G324" s="693"/>
      <c r="H324" s="654"/>
      <c r="M324" s="695">
        <f t="shared" si="42"/>
        <v>997182.95</v>
      </c>
    </row>
    <row r="325" s="625" customFormat="1" ht="22.5" spans="1:13">
      <c r="A325" s="651">
        <v>90447</v>
      </c>
      <c r="B325" s="651" t="s">
        <v>541</v>
      </c>
      <c r="C325" s="692" t="s">
        <v>542</v>
      </c>
      <c r="D325" s="651" t="s">
        <v>95</v>
      </c>
      <c r="E325" s="432">
        <f>'PB VI - Memorial'!G536</f>
        <v>205.9</v>
      </c>
      <c r="F325" s="432">
        <v>4.66</v>
      </c>
      <c r="G325" s="693">
        <f t="shared" ref="G325:G338" si="45">ROUND(E325*F325,2)</f>
        <v>959.49</v>
      </c>
      <c r="H325" s="654"/>
      <c r="M325" s="695">
        <f t="shared" si="42"/>
        <v>997182.95</v>
      </c>
    </row>
    <row r="326" s="625" customFormat="1" ht="22.5" spans="1:13">
      <c r="A326" s="651">
        <v>90466</v>
      </c>
      <c r="B326" s="651" t="s">
        <v>543</v>
      </c>
      <c r="C326" s="692" t="s">
        <v>544</v>
      </c>
      <c r="D326" s="651" t="s">
        <v>95</v>
      </c>
      <c r="E326" s="432">
        <f>E325</f>
        <v>205.9</v>
      </c>
      <c r="F326" s="432">
        <v>9.66</v>
      </c>
      <c r="G326" s="693">
        <f t="shared" si="45"/>
        <v>1988.99</v>
      </c>
      <c r="H326" s="654"/>
      <c r="M326" s="695">
        <f t="shared" si="42"/>
        <v>997182.95</v>
      </c>
    </row>
    <row r="327" s="625" customFormat="1" ht="22.5" spans="1:13">
      <c r="A327" s="669">
        <v>91854</v>
      </c>
      <c r="B327" s="651" t="s">
        <v>545</v>
      </c>
      <c r="C327" s="692" t="s">
        <v>546</v>
      </c>
      <c r="D327" s="669" t="s">
        <v>95</v>
      </c>
      <c r="E327" s="432">
        <f>E326</f>
        <v>205.9</v>
      </c>
      <c r="F327" s="432">
        <v>6.1</v>
      </c>
      <c r="G327" s="693">
        <f t="shared" si="45"/>
        <v>1255.99</v>
      </c>
      <c r="H327" s="654"/>
      <c r="M327" s="695">
        <f t="shared" si="42"/>
        <v>997182.95</v>
      </c>
    </row>
    <row r="328" s="625" customFormat="1" ht="22.5" spans="1:13">
      <c r="A328" s="669">
        <v>91834</v>
      </c>
      <c r="B328" s="651" t="s">
        <v>547</v>
      </c>
      <c r="C328" s="692" t="s">
        <v>548</v>
      </c>
      <c r="D328" s="669" t="s">
        <v>95</v>
      </c>
      <c r="E328" s="432">
        <v>232.4</v>
      </c>
      <c r="F328" s="432">
        <v>5.84</v>
      </c>
      <c r="G328" s="693">
        <f t="shared" si="45"/>
        <v>1357.22</v>
      </c>
      <c r="H328" s="654"/>
      <c r="M328" s="695">
        <f t="shared" si="42"/>
        <v>997182.95</v>
      </c>
    </row>
    <row r="329" s="625" customFormat="1" ht="22.5" spans="1:13">
      <c r="A329" s="669">
        <v>91867</v>
      </c>
      <c r="B329" s="651" t="s">
        <v>549</v>
      </c>
      <c r="C329" s="692" t="s">
        <v>550</v>
      </c>
      <c r="D329" s="669" t="s">
        <v>95</v>
      </c>
      <c r="E329" s="432">
        <v>141.86</v>
      </c>
      <c r="F329" s="432">
        <v>5.65</v>
      </c>
      <c r="G329" s="693">
        <f t="shared" si="45"/>
        <v>801.51</v>
      </c>
      <c r="H329" s="654"/>
      <c r="M329" s="695">
        <f t="shared" si="42"/>
        <v>997182.95</v>
      </c>
    </row>
    <row r="330" s="625" customFormat="1" ht="22.5" spans="1:13">
      <c r="A330" s="669">
        <v>91868</v>
      </c>
      <c r="B330" s="651" t="s">
        <v>551</v>
      </c>
      <c r="C330" s="650" t="s">
        <v>552</v>
      </c>
      <c r="D330" s="669" t="s">
        <v>95</v>
      </c>
      <c r="E330" s="432">
        <v>18.14</v>
      </c>
      <c r="F330" s="432">
        <v>7.68</v>
      </c>
      <c r="G330" s="693">
        <f t="shared" si="45"/>
        <v>139.32</v>
      </c>
      <c r="H330" s="654"/>
      <c r="M330" s="695">
        <f t="shared" si="42"/>
        <v>997182.95</v>
      </c>
    </row>
    <row r="331" s="625" customFormat="1" ht="22.5" spans="1:13">
      <c r="A331" s="669">
        <v>93009</v>
      </c>
      <c r="B331" s="651" t="s">
        <v>553</v>
      </c>
      <c r="C331" s="692" t="s">
        <v>554</v>
      </c>
      <c r="D331" s="669" t="s">
        <v>95</v>
      </c>
      <c r="E331" s="432">
        <v>21.6</v>
      </c>
      <c r="F331" s="432">
        <v>13.01</v>
      </c>
      <c r="G331" s="693">
        <f t="shared" si="45"/>
        <v>281.02</v>
      </c>
      <c r="H331" s="654"/>
      <c r="M331" s="695">
        <f t="shared" si="42"/>
        <v>997182.95</v>
      </c>
    </row>
    <row r="332" s="625" customFormat="1" ht="12" spans="1:13">
      <c r="A332" s="669">
        <v>90456</v>
      </c>
      <c r="B332" s="651" t="s">
        <v>555</v>
      </c>
      <c r="C332" s="692" t="s">
        <v>556</v>
      </c>
      <c r="D332" s="651" t="s">
        <v>20</v>
      </c>
      <c r="E332" s="432">
        <v>82</v>
      </c>
      <c r="F332" s="432">
        <v>3.08</v>
      </c>
      <c r="G332" s="693">
        <f t="shared" si="45"/>
        <v>252.56</v>
      </c>
      <c r="H332" s="654"/>
      <c r="M332" s="695">
        <f t="shared" si="42"/>
        <v>997182.95</v>
      </c>
    </row>
    <row r="333" s="625" customFormat="1" ht="22.5" spans="1:13">
      <c r="A333" s="669" t="str">
        <f>'PB VIII - Composições Auxilia'!A160</f>
        <v>COMP. 17 - DPE</v>
      </c>
      <c r="B333" s="651" t="s">
        <v>557</v>
      </c>
      <c r="C333" s="650" t="s">
        <v>558</v>
      </c>
      <c r="D333" s="651" t="s">
        <v>20</v>
      </c>
      <c r="E333" s="432">
        <v>65</v>
      </c>
      <c r="F333" s="432">
        <f>'PB VIII - Composições Auxilia'!F165</f>
        <v>8.24</v>
      </c>
      <c r="G333" s="693">
        <f t="shared" si="45"/>
        <v>535.6</v>
      </c>
      <c r="H333" s="654"/>
      <c r="M333" s="695">
        <f t="shared" si="42"/>
        <v>997182.95</v>
      </c>
    </row>
    <row r="334" s="625" customFormat="1" ht="22.5" spans="1:13">
      <c r="A334" s="669">
        <v>91939</v>
      </c>
      <c r="B334" s="651" t="s">
        <v>559</v>
      </c>
      <c r="C334" s="692" t="s">
        <v>560</v>
      </c>
      <c r="D334" s="669" t="s">
        <v>561</v>
      </c>
      <c r="E334" s="432">
        <v>12</v>
      </c>
      <c r="F334" s="432">
        <v>19.71</v>
      </c>
      <c r="G334" s="693">
        <f t="shared" si="45"/>
        <v>236.52</v>
      </c>
      <c r="H334" s="654"/>
      <c r="M334" s="695">
        <f t="shared" si="42"/>
        <v>997182.95</v>
      </c>
    </row>
    <row r="335" s="625" customFormat="1" ht="22.5" spans="1:13">
      <c r="A335" s="669">
        <v>91940</v>
      </c>
      <c r="B335" s="651" t="s">
        <v>562</v>
      </c>
      <c r="C335" s="692" t="s">
        <v>563</v>
      </c>
      <c r="D335" s="669" t="s">
        <v>561</v>
      </c>
      <c r="E335" s="432">
        <v>29</v>
      </c>
      <c r="F335" s="432">
        <v>10.25</v>
      </c>
      <c r="G335" s="693">
        <f t="shared" si="45"/>
        <v>297.25</v>
      </c>
      <c r="H335" s="654"/>
      <c r="M335" s="695">
        <f t="shared" si="42"/>
        <v>997182.95</v>
      </c>
    </row>
    <row r="336" s="625" customFormat="1" ht="22.5" spans="1:13">
      <c r="A336" s="669">
        <v>91941</v>
      </c>
      <c r="B336" s="651" t="s">
        <v>564</v>
      </c>
      <c r="C336" s="692" t="s">
        <v>565</v>
      </c>
      <c r="D336" s="669" t="s">
        <v>20</v>
      </c>
      <c r="E336" s="432">
        <v>41</v>
      </c>
      <c r="F336" s="432">
        <v>6.71</v>
      </c>
      <c r="G336" s="693">
        <f t="shared" si="45"/>
        <v>275.11</v>
      </c>
      <c r="H336" s="654"/>
      <c r="M336" s="695">
        <f t="shared" si="42"/>
        <v>997182.95</v>
      </c>
    </row>
    <row r="337" s="625" customFormat="1" ht="12" spans="1:13">
      <c r="A337" s="669">
        <v>83448</v>
      </c>
      <c r="B337" s="651" t="s">
        <v>566</v>
      </c>
      <c r="C337" s="650" t="s">
        <v>567</v>
      </c>
      <c r="D337" s="669" t="s">
        <v>20</v>
      </c>
      <c r="E337" s="432">
        <v>4</v>
      </c>
      <c r="F337" s="432">
        <v>220.32</v>
      </c>
      <c r="G337" s="693">
        <f t="shared" si="45"/>
        <v>881.28</v>
      </c>
      <c r="H337" s="654"/>
      <c r="M337" s="695">
        <f t="shared" si="42"/>
        <v>997182.95</v>
      </c>
    </row>
    <row r="338" s="625" customFormat="1" ht="12" spans="1:13">
      <c r="A338" s="669">
        <v>83443</v>
      </c>
      <c r="B338" s="651" t="s">
        <v>568</v>
      </c>
      <c r="C338" s="650" t="s">
        <v>569</v>
      </c>
      <c r="D338" s="669" t="s">
        <v>20</v>
      </c>
      <c r="E338" s="432">
        <v>1</v>
      </c>
      <c r="F338" s="432">
        <v>41.53</v>
      </c>
      <c r="G338" s="693">
        <f t="shared" si="45"/>
        <v>41.53</v>
      </c>
      <c r="H338" s="654"/>
      <c r="M338" s="695">
        <f t="shared" si="42"/>
        <v>997182.95</v>
      </c>
    </row>
    <row r="339" s="625" customFormat="1" ht="12" spans="1:13">
      <c r="A339" s="669"/>
      <c r="B339" s="680" t="s">
        <v>74</v>
      </c>
      <c r="C339" s="747" t="s">
        <v>570</v>
      </c>
      <c r="D339" s="669"/>
      <c r="E339" s="432"/>
      <c r="F339" s="432"/>
      <c r="G339" s="693"/>
      <c r="H339" s="654"/>
      <c r="M339" s="695">
        <f t="shared" si="42"/>
        <v>997182.95</v>
      </c>
    </row>
    <row r="340" s="625" customFormat="1" ht="22.5" spans="1:13">
      <c r="A340" s="669">
        <v>91924</v>
      </c>
      <c r="B340" s="669" t="s">
        <v>571</v>
      </c>
      <c r="C340" s="692" t="s">
        <v>572</v>
      </c>
      <c r="D340" s="669" t="s">
        <v>95</v>
      </c>
      <c r="E340" s="432">
        <v>570.4</v>
      </c>
      <c r="F340" s="432">
        <v>1.48</v>
      </c>
      <c r="G340" s="693">
        <f t="shared" ref="G340:G345" si="46">ROUND(E340*F340,2)</f>
        <v>844.19</v>
      </c>
      <c r="H340" s="654"/>
      <c r="M340" s="695">
        <f t="shared" si="42"/>
        <v>997182.95</v>
      </c>
    </row>
    <row r="341" s="625" customFormat="1" ht="22.5" spans="1:13">
      <c r="A341" s="669">
        <v>91926</v>
      </c>
      <c r="B341" s="669" t="s">
        <v>573</v>
      </c>
      <c r="C341" s="692" t="s">
        <v>574</v>
      </c>
      <c r="D341" s="669" t="s">
        <v>95</v>
      </c>
      <c r="E341" s="432">
        <v>899.91</v>
      </c>
      <c r="F341" s="432">
        <v>2.7</v>
      </c>
      <c r="G341" s="693">
        <f t="shared" si="46"/>
        <v>2429.76</v>
      </c>
      <c r="H341" s="654"/>
      <c r="M341" s="695">
        <f t="shared" si="42"/>
        <v>997182.95</v>
      </c>
    </row>
    <row r="342" s="625" customFormat="1" ht="22.5" spans="1:13">
      <c r="A342" s="669">
        <v>91928</v>
      </c>
      <c r="B342" s="669" t="s">
        <v>575</v>
      </c>
      <c r="C342" s="692" t="s">
        <v>576</v>
      </c>
      <c r="D342" s="669" t="s">
        <v>95</v>
      </c>
      <c r="E342" s="432">
        <v>441.1</v>
      </c>
      <c r="F342" s="432">
        <v>3.82</v>
      </c>
      <c r="G342" s="693">
        <f t="shared" si="46"/>
        <v>1685</v>
      </c>
      <c r="H342" s="654"/>
      <c r="M342" s="695">
        <f t="shared" si="42"/>
        <v>997182.95</v>
      </c>
    </row>
    <row r="343" s="625" customFormat="1" ht="22.5" spans="1:13">
      <c r="A343" s="669">
        <v>91931</v>
      </c>
      <c r="B343" s="669" t="s">
        <v>577</v>
      </c>
      <c r="C343" s="650" t="s">
        <v>578</v>
      </c>
      <c r="D343" s="651" t="s">
        <v>95</v>
      </c>
      <c r="E343" s="432">
        <v>85.7</v>
      </c>
      <c r="F343" s="432">
        <v>4.89</v>
      </c>
      <c r="G343" s="693">
        <f t="shared" si="46"/>
        <v>419.07</v>
      </c>
      <c r="H343" s="654"/>
      <c r="M343" s="695">
        <f t="shared" si="42"/>
        <v>997182.95</v>
      </c>
    </row>
    <row r="344" s="625" customFormat="1" ht="22.5" spans="1:13">
      <c r="A344" s="669">
        <v>92982</v>
      </c>
      <c r="B344" s="669" t="s">
        <v>579</v>
      </c>
      <c r="C344" s="650" t="s">
        <v>580</v>
      </c>
      <c r="D344" s="651" t="s">
        <v>95</v>
      </c>
      <c r="E344" s="432">
        <v>21</v>
      </c>
      <c r="F344" s="432">
        <v>7.02</v>
      </c>
      <c r="G344" s="693">
        <f t="shared" si="46"/>
        <v>147.42</v>
      </c>
      <c r="H344" s="654"/>
      <c r="M344" s="695">
        <f t="shared" si="42"/>
        <v>997182.95</v>
      </c>
    </row>
    <row r="345" s="625" customFormat="1" ht="22.5" spans="1:13">
      <c r="A345" s="669">
        <v>92986</v>
      </c>
      <c r="B345" s="669" t="s">
        <v>581</v>
      </c>
      <c r="C345" s="692" t="s">
        <v>582</v>
      </c>
      <c r="D345" s="669" t="s">
        <v>95</v>
      </c>
      <c r="E345" s="432">
        <v>83.7</v>
      </c>
      <c r="F345" s="432">
        <v>16.17</v>
      </c>
      <c r="G345" s="693">
        <f t="shared" si="46"/>
        <v>1353.43</v>
      </c>
      <c r="H345" s="654"/>
      <c r="M345" s="695">
        <f t="shared" si="42"/>
        <v>997182.95</v>
      </c>
    </row>
    <row r="346" s="625" customFormat="1" ht="12" spans="1:13">
      <c r="A346" s="669"/>
      <c r="B346" s="680" t="s">
        <v>74</v>
      </c>
      <c r="C346" s="747" t="s">
        <v>583</v>
      </c>
      <c r="D346" s="669"/>
      <c r="E346" s="432"/>
      <c r="F346" s="432"/>
      <c r="G346" s="693"/>
      <c r="H346" s="654"/>
      <c r="M346" s="695">
        <f t="shared" si="42"/>
        <v>997182.95</v>
      </c>
    </row>
    <row r="347" s="625" customFormat="1" ht="12" spans="1:13">
      <c r="A347" s="669">
        <v>72254</v>
      </c>
      <c r="B347" s="669" t="s">
        <v>584</v>
      </c>
      <c r="C347" s="650" t="s">
        <v>585</v>
      </c>
      <c r="D347" s="669" t="s">
        <v>95</v>
      </c>
      <c r="E347" s="432">
        <v>13</v>
      </c>
      <c r="F347" s="432">
        <v>29.24</v>
      </c>
      <c r="G347" s="693">
        <f>ROUND(E347*F347,2)</f>
        <v>380.12</v>
      </c>
      <c r="H347" s="654"/>
      <c r="M347" s="695">
        <f t="shared" si="42"/>
        <v>997182.95</v>
      </c>
    </row>
    <row r="348" s="625" customFormat="1" ht="33.75" spans="1:13">
      <c r="A348" s="669" t="str">
        <f>'PB VIII - Composições Auxilia'!A167</f>
        <v>COMP. 18 - DPE</v>
      </c>
      <c r="B348" s="669" t="s">
        <v>586</v>
      </c>
      <c r="C348" s="650" t="s">
        <v>587</v>
      </c>
      <c r="D348" s="669" t="s">
        <v>95</v>
      </c>
      <c r="E348" s="432">
        <v>11</v>
      </c>
      <c r="F348" s="432">
        <v>3.82</v>
      </c>
      <c r="G348" s="693">
        <f>ROUND(E348*F348,2)</f>
        <v>42.02</v>
      </c>
      <c r="H348" s="654"/>
      <c r="M348" s="695">
        <f t="shared" si="42"/>
        <v>997182.95</v>
      </c>
    </row>
    <row r="349" s="625" customFormat="1" ht="22.5" spans="1:13">
      <c r="A349" s="651" t="str">
        <f>'PB VIII - Composições Auxilia'!A175</f>
        <v>COMP. 19 - DPE</v>
      </c>
      <c r="B349" s="669" t="s">
        <v>588</v>
      </c>
      <c r="C349" s="650" t="str">
        <f>'PB VIII - Composições Auxilia'!B175</f>
        <v>Caixa inspeção em concreto, com tampa para aterramento diametro = 300 mm - fornecimento e instalação.</v>
      </c>
      <c r="D349" s="669" t="s">
        <v>20</v>
      </c>
      <c r="E349" s="432">
        <v>9</v>
      </c>
      <c r="F349" s="432">
        <f>'PB VIII - Composições Auxilia'!F179</f>
        <v>88.48</v>
      </c>
      <c r="G349" s="693">
        <f>ROUND(E349*F349,2)</f>
        <v>796.32</v>
      </c>
      <c r="H349" s="654"/>
      <c r="M349" s="695">
        <f t="shared" si="42"/>
        <v>997182.95</v>
      </c>
    </row>
    <row r="350" s="625" customFormat="1" ht="12" spans="1:13">
      <c r="A350" s="669"/>
      <c r="B350" s="680" t="s">
        <v>85</v>
      </c>
      <c r="C350" s="747" t="s">
        <v>589</v>
      </c>
      <c r="D350" s="669"/>
      <c r="E350" s="432"/>
      <c r="F350" s="432"/>
      <c r="G350" s="693"/>
      <c r="H350" s="654"/>
      <c r="M350" s="695">
        <f t="shared" si="42"/>
        <v>997182.95</v>
      </c>
    </row>
    <row r="351" s="625" customFormat="1" ht="33.75" spans="1:13">
      <c r="A351" s="669" t="s">
        <v>590</v>
      </c>
      <c r="B351" s="669" t="s">
        <v>591</v>
      </c>
      <c r="C351" s="650" t="s">
        <v>592</v>
      </c>
      <c r="D351" s="669" t="s">
        <v>20</v>
      </c>
      <c r="E351" s="432">
        <v>1</v>
      </c>
      <c r="F351" s="432">
        <v>651.76</v>
      </c>
      <c r="G351" s="693">
        <f t="shared" ref="G351:G363" si="47">ROUND(E351*F351,2)</f>
        <v>651.76</v>
      </c>
      <c r="H351" s="654"/>
      <c r="M351" s="695">
        <f t="shared" si="42"/>
        <v>997182.95</v>
      </c>
    </row>
    <row r="352" s="625" customFormat="1" ht="33.75" spans="1:13">
      <c r="A352" s="669" t="s">
        <v>593</v>
      </c>
      <c r="B352" s="669" t="s">
        <v>594</v>
      </c>
      <c r="C352" s="650" t="s">
        <v>595</v>
      </c>
      <c r="D352" s="669" t="s">
        <v>20</v>
      </c>
      <c r="E352" s="432">
        <v>2</v>
      </c>
      <c r="F352" s="432">
        <v>279.96</v>
      </c>
      <c r="G352" s="693">
        <f t="shared" si="47"/>
        <v>559.92</v>
      </c>
      <c r="H352" s="654"/>
      <c r="M352" s="695">
        <f t="shared" si="42"/>
        <v>997182.95</v>
      </c>
    </row>
    <row r="353" s="625" customFormat="1" ht="22.5" spans="1:13">
      <c r="A353" s="669">
        <v>93653</v>
      </c>
      <c r="B353" s="669" t="s">
        <v>596</v>
      </c>
      <c r="C353" s="692" t="s">
        <v>597</v>
      </c>
      <c r="D353" s="669" t="s">
        <v>20</v>
      </c>
      <c r="E353" s="432">
        <v>6</v>
      </c>
      <c r="F353" s="432">
        <v>7.8</v>
      </c>
      <c r="G353" s="693">
        <f t="shared" si="47"/>
        <v>46.8</v>
      </c>
      <c r="H353" s="654"/>
      <c r="M353" s="695">
        <f t="shared" si="42"/>
        <v>997182.95</v>
      </c>
    </row>
    <row r="354" s="625" customFormat="1" ht="22.5" spans="1:13">
      <c r="A354" s="669">
        <v>93654</v>
      </c>
      <c r="B354" s="669" t="s">
        <v>598</v>
      </c>
      <c r="C354" s="692" t="s">
        <v>599</v>
      </c>
      <c r="D354" s="669" t="s">
        <v>20</v>
      </c>
      <c r="E354" s="432">
        <v>7</v>
      </c>
      <c r="F354" s="432">
        <v>8.25</v>
      </c>
      <c r="G354" s="693">
        <f t="shared" si="47"/>
        <v>57.75</v>
      </c>
      <c r="H354" s="654"/>
      <c r="M354" s="695">
        <f t="shared" si="42"/>
        <v>997182.95</v>
      </c>
    </row>
    <row r="355" s="625" customFormat="1" ht="22.5" spans="1:13">
      <c r="A355" s="669">
        <v>93655</v>
      </c>
      <c r="B355" s="669" t="s">
        <v>600</v>
      </c>
      <c r="C355" s="692" t="s">
        <v>601</v>
      </c>
      <c r="D355" s="669" t="s">
        <v>20</v>
      </c>
      <c r="E355" s="432">
        <v>2</v>
      </c>
      <c r="F355" s="432">
        <v>8.96</v>
      </c>
      <c r="G355" s="693">
        <f t="shared" si="47"/>
        <v>17.92</v>
      </c>
      <c r="H355" s="654"/>
      <c r="M355" s="695">
        <f t="shared" si="42"/>
        <v>997182.95</v>
      </c>
    </row>
    <row r="356" s="625" customFormat="1" ht="22.5" spans="1:13">
      <c r="A356" s="669">
        <v>93660</v>
      </c>
      <c r="B356" s="669" t="s">
        <v>602</v>
      </c>
      <c r="C356" s="692" t="s">
        <v>603</v>
      </c>
      <c r="D356" s="669" t="s">
        <v>20</v>
      </c>
      <c r="E356" s="432">
        <v>4</v>
      </c>
      <c r="F356" s="432">
        <v>38.99</v>
      </c>
      <c r="G356" s="693">
        <f t="shared" si="47"/>
        <v>155.96</v>
      </c>
      <c r="H356" s="654"/>
      <c r="M356" s="695">
        <f t="shared" si="42"/>
        <v>997182.95</v>
      </c>
    </row>
    <row r="357" s="625" customFormat="1" ht="22.5" spans="1:13">
      <c r="A357" s="669">
        <v>93661</v>
      </c>
      <c r="B357" s="669" t="s">
        <v>604</v>
      </c>
      <c r="C357" s="650" t="s">
        <v>605</v>
      </c>
      <c r="D357" s="669" t="s">
        <v>20</v>
      </c>
      <c r="E357" s="432">
        <v>8</v>
      </c>
      <c r="F357" s="432">
        <v>39.86</v>
      </c>
      <c r="G357" s="693">
        <f t="shared" si="47"/>
        <v>318.88</v>
      </c>
      <c r="H357" s="654"/>
      <c r="M357" s="695">
        <f t="shared" si="42"/>
        <v>997182.95</v>
      </c>
    </row>
    <row r="358" s="625" customFormat="1" ht="22.5" spans="1:13">
      <c r="A358" s="669">
        <v>93671</v>
      </c>
      <c r="B358" s="669" t="s">
        <v>606</v>
      </c>
      <c r="C358" s="650" t="s">
        <v>607</v>
      </c>
      <c r="D358" s="669" t="s">
        <v>20</v>
      </c>
      <c r="E358" s="432">
        <v>2</v>
      </c>
      <c r="F358" s="432">
        <v>52.16</v>
      </c>
      <c r="G358" s="693">
        <f t="shared" si="47"/>
        <v>104.32</v>
      </c>
      <c r="H358" s="654"/>
      <c r="M358" s="695">
        <f t="shared" si="42"/>
        <v>997182.95</v>
      </c>
    </row>
    <row r="359" s="625" customFormat="1" ht="22.5" spans="1:13">
      <c r="A359" s="669">
        <v>93671</v>
      </c>
      <c r="B359" s="669" t="s">
        <v>608</v>
      </c>
      <c r="C359" s="650" t="s">
        <v>609</v>
      </c>
      <c r="D359" s="669" t="s">
        <v>20</v>
      </c>
      <c r="E359" s="432">
        <v>2</v>
      </c>
      <c r="F359" s="432">
        <v>54.98</v>
      </c>
      <c r="G359" s="693">
        <f t="shared" si="47"/>
        <v>109.96</v>
      </c>
      <c r="H359" s="654"/>
      <c r="M359" s="695">
        <f t="shared" si="42"/>
        <v>997182.95</v>
      </c>
    </row>
    <row r="360" s="625" customFormat="1" ht="22.5" spans="1:13">
      <c r="A360" s="669" t="str">
        <f>'PB VIII - Composições Auxilia'!A181</f>
        <v>COMP. 20 - DPE</v>
      </c>
      <c r="B360" s="669" t="s">
        <v>610</v>
      </c>
      <c r="C360" s="650" t="s">
        <v>611</v>
      </c>
      <c r="D360" s="669" t="s">
        <v>20</v>
      </c>
      <c r="E360" s="432">
        <v>1</v>
      </c>
      <c r="F360" s="432">
        <f>'PB VIII - Composições Auxilia'!F187</f>
        <v>119.1</v>
      </c>
      <c r="G360" s="693">
        <f t="shared" si="47"/>
        <v>119.1</v>
      </c>
      <c r="H360" s="654"/>
      <c r="M360" s="695">
        <f t="shared" ref="M360:M422" si="48">$F$432</f>
        <v>997182.95</v>
      </c>
    </row>
    <row r="361" s="625" customFormat="1" ht="22.5" spans="1:13">
      <c r="A361" s="669" t="str">
        <f>'PB VIII - Composições Auxilia'!A189</f>
        <v>COMP. 21 - DPE</v>
      </c>
      <c r="B361" s="669" t="s">
        <v>612</v>
      </c>
      <c r="C361" s="650" t="s">
        <v>613</v>
      </c>
      <c r="D361" s="669" t="s">
        <v>20</v>
      </c>
      <c r="E361" s="432">
        <v>2</v>
      </c>
      <c r="F361" s="432">
        <f>'PB VIII - Composições Auxilia'!F195</f>
        <v>108.45</v>
      </c>
      <c r="G361" s="693">
        <f t="shared" si="47"/>
        <v>216.9</v>
      </c>
      <c r="H361" s="654"/>
      <c r="M361" s="695">
        <f t="shared" si="48"/>
        <v>997182.95</v>
      </c>
    </row>
    <row r="362" s="625" customFormat="1" ht="22.5" spans="1:13">
      <c r="A362" s="669" t="str">
        <f>'PB VIII - Composições Auxilia'!A197</f>
        <v>COMP. 22 - DPE</v>
      </c>
      <c r="B362" s="669" t="s">
        <v>614</v>
      </c>
      <c r="C362" s="650" t="s">
        <v>615</v>
      </c>
      <c r="D362" s="669" t="s">
        <v>20</v>
      </c>
      <c r="E362" s="432">
        <v>12</v>
      </c>
      <c r="F362" s="432">
        <f>'PB VIII - Composições Auxilia'!F204</f>
        <v>72.36</v>
      </c>
      <c r="G362" s="693">
        <f t="shared" si="47"/>
        <v>868.32</v>
      </c>
      <c r="H362" s="654"/>
      <c r="M362" s="695">
        <f t="shared" si="48"/>
        <v>997182.95</v>
      </c>
    </row>
    <row r="363" s="625" customFormat="1" ht="22.5" spans="1:13">
      <c r="A363" s="669" t="str">
        <f>'PB VIII - Composições Auxilia'!A206</f>
        <v>COMP. 23 - DPE</v>
      </c>
      <c r="B363" s="669" t="s">
        <v>616</v>
      </c>
      <c r="C363" s="650" t="s">
        <v>617</v>
      </c>
      <c r="D363" s="669" t="s">
        <v>20</v>
      </c>
      <c r="E363" s="432">
        <v>1</v>
      </c>
      <c r="F363" s="432">
        <f>'PB VIII - Composições Auxilia'!F222</f>
        <v>1143.88</v>
      </c>
      <c r="G363" s="693">
        <f t="shared" si="47"/>
        <v>1143.88</v>
      </c>
      <c r="H363" s="654"/>
      <c r="M363" s="695">
        <f t="shared" si="48"/>
        <v>997182.95</v>
      </c>
    </row>
    <row r="364" s="625" customFormat="1" ht="12" spans="1:13">
      <c r="A364" s="669"/>
      <c r="B364" s="669"/>
      <c r="C364" s="650"/>
      <c r="D364" s="669"/>
      <c r="E364" s="432"/>
      <c r="F364" s="432"/>
      <c r="G364" s="693"/>
      <c r="H364" s="654"/>
      <c r="M364" s="695"/>
    </row>
    <row r="365" s="625" customFormat="1" ht="12" spans="1:13">
      <c r="A365" s="647"/>
      <c r="B365" s="641">
        <v>19</v>
      </c>
      <c r="C365" s="646" t="s">
        <v>618</v>
      </c>
      <c r="D365" s="647"/>
      <c r="E365" s="674"/>
      <c r="F365" s="674"/>
      <c r="G365" s="649">
        <f>SUM(G366:G388)</f>
        <v>4170.19</v>
      </c>
      <c r="H365" s="654"/>
      <c r="M365" s="695">
        <f t="shared" si="48"/>
        <v>997182.95</v>
      </c>
    </row>
    <row r="366" s="625" customFormat="1" ht="12" spans="1:13">
      <c r="A366" s="669">
        <v>90456</v>
      </c>
      <c r="B366" s="651" t="s">
        <v>619</v>
      </c>
      <c r="C366" s="692" t="s">
        <v>556</v>
      </c>
      <c r="D366" s="651" t="s">
        <v>20</v>
      </c>
      <c r="E366" s="432">
        <v>17</v>
      </c>
      <c r="F366" s="432">
        <v>3.08</v>
      </c>
      <c r="G366" s="693">
        <f t="shared" ref="G366:G376" si="49">ROUND(E366*F366,2)</f>
        <v>52.36</v>
      </c>
      <c r="H366" s="654"/>
      <c r="M366" s="695">
        <f t="shared" si="48"/>
        <v>997182.95</v>
      </c>
    </row>
    <row r="367" s="625" customFormat="1" ht="22.5" spans="1:13">
      <c r="A367" s="669">
        <v>91941</v>
      </c>
      <c r="B367" s="651" t="s">
        <v>620</v>
      </c>
      <c r="C367" s="692" t="s">
        <v>565</v>
      </c>
      <c r="D367" s="669" t="s">
        <v>20</v>
      </c>
      <c r="E367" s="432">
        <v>17</v>
      </c>
      <c r="F367" s="432">
        <v>6.71</v>
      </c>
      <c r="G367" s="693">
        <f t="shared" si="49"/>
        <v>114.07</v>
      </c>
      <c r="H367" s="654"/>
      <c r="M367" s="695">
        <f t="shared" si="48"/>
        <v>997182.95</v>
      </c>
    </row>
    <row r="368" s="625" customFormat="1" ht="22.5" spans="1:13">
      <c r="A368" s="651" t="str">
        <f>'PB VIII - Composições Auxilia'!A224</f>
        <v>COMP. 24 - DPE</v>
      </c>
      <c r="B368" s="651" t="s">
        <v>621</v>
      </c>
      <c r="C368" s="650" t="s">
        <v>622</v>
      </c>
      <c r="D368" s="669" t="s">
        <v>20</v>
      </c>
      <c r="E368" s="432">
        <v>1</v>
      </c>
      <c r="F368" s="653">
        <f>'PB VIII - Composições Auxilia'!F228</f>
        <v>23.48</v>
      </c>
      <c r="G368" s="693">
        <f t="shared" si="49"/>
        <v>23.48</v>
      </c>
      <c r="H368" s="654"/>
      <c r="M368" s="695">
        <f t="shared" si="48"/>
        <v>997182.95</v>
      </c>
    </row>
    <row r="369" s="625" customFormat="1" ht="22.5" spans="1:13">
      <c r="A369" s="651" t="str">
        <f>'PB VIII - Composições Auxilia'!A230</f>
        <v>COMP. 25 - DPE</v>
      </c>
      <c r="B369" s="651" t="s">
        <v>623</v>
      </c>
      <c r="C369" s="650" t="s">
        <v>624</v>
      </c>
      <c r="D369" s="669" t="s">
        <v>20</v>
      </c>
      <c r="E369" s="432">
        <v>8</v>
      </c>
      <c r="F369" s="653">
        <f>'PB VIII - Composições Auxilia'!F234</f>
        <v>41.55</v>
      </c>
      <c r="G369" s="693">
        <f t="shared" si="49"/>
        <v>332.4</v>
      </c>
      <c r="H369" s="654"/>
      <c r="M369" s="695">
        <f t="shared" si="48"/>
        <v>997182.95</v>
      </c>
    </row>
    <row r="370" s="625" customFormat="1" ht="22.5" spans="1:13">
      <c r="A370" s="651" t="str">
        <f>'PB VIII - Composições Auxilia'!A236</f>
        <v>COMP. 26 - DPE</v>
      </c>
      <c r="B370" s="651" t="s">
        <v>625</v>
      </c>
      <c r="C370" s="650" t="s">
        <v>626</v>
      </c>
      <c r="D370" s="669" t="s">
        <v>20</v>
      </c>
      <c r="E370" s="432">
        <v>4</v>
      </c>
      <c r="F370" s="653">
        <f>'PB VIII - Composições Auxilia'!F240</f>
        <v>62.8</v>
      </c>
      <c r="G370" s="693">
        <f t="shared" si="49"/>
        <v>251.2</v>
      </c>
      <c r="H370" s="654"/>
      <c r="M370" s="695">
        <f t="shared" si="48"/>
        <v>997182.95</v>
      </c>
    </row>
    <row r="371" s="625" customFormat="1" ht="22.5" spans="1:13">
      <c r="A371" s="651" t="str">
        <f>'PB VIII - Composições Auxilia'!A242</f>
        <v>COMP. 27 - DPE</v>
      </c>
      <c r="B371" s="651" t="s">
        <v>627</v>
      </c>
      <c r="C371" s="650" t="s">
        <v>628</v>
      </c>
      <c r="D371" s="669" t="s">
        <v>20</v>
      </c>
      <c r="E371" s="432">
        <v>4</v>
      </c>
      <c r="F371" s="653">
        <f>'PB VIII - Composições Auxilia'!F246</f>
        <v>81.44</v>
      </c>
      <c r="G371" s="693">
        <f t="shared" si="49"/>
        <v>325.76</v>
      </c>
      <c r="H371" s="654"/>
      <c r="M371" s="695">
        <f t="shared" si="48"/>
        <v>997182.95</v>
      </c>
    </row>
    <row r="372" s="625" customFormat="1" ht="22.5" spans="1:13">
      <c r="A372" s="651" t="str">
        <f>'PB VIII - Composições Auxilia'!A248</f>
        <v>COMP. 28 - DPE</v>
      </c>
      <c r="B372" s="651" t="s">
        <v>629</v>
      </c>
      <c r="C372" s="650" t="s">
        <v>630</v>
      </c>
      <c r="D372" s="651" t="s">
        <v>20</v>
      </c>
      <c r="E372" s="432">
        <v>2</v>
      </c>
      <c r="F372" s="432">
        <f>'PB VIII - Composições Auxilia'!F257</f>
        <v>21.38</v>
      </c>
      <c r="G372" s="652">
        <f t="shared" si="49"/>
        <v>42.76</v>
      </c>
      <c r="H372" s="654"/>
      <c r="M372" s="695">
        <f t="shared" si="48"/>
        <v>997182.95</v>
      </c>
    </row>
    <row r="373" s="625" customFormat="1" ht="22.5" spans="1:13">
      <c r="A373" s="651" t="str">
        <f>'PB VIII - Composições Auxilia'!A259</f>
        <v>COMP. 29 - DPE</v>
      </c>
      <c r="B373" s="651" t="s">
        <v>631</v>
      </c>
      <c r="C373" s="650" t="s">
        <v>632</v>
      </c>
      <c r="D373" s="651" t="s">
        <v>633</v>
      </c>
      <c r="E373" s="432">
        <v>55.8</v>
      </c>
      <c r="F373" s="432">
        <f>'PB VIII - Composições Auxilia'!F265</f>
        <v>10.89</v>
      </c>
      <c r="G373" s="652">
        <f t="shared" si="49"/>
        <v>607.66</v>
      </c>
      <c r="H373" s="654"/>
      <c r="M373" s="695">
        <f t="shared" si="48"/>
        <v>997182.95</v>
      </c>
    </row>
    <row r="374" s="625" customFormat="1" ht="22.5" spans="1:13">
      <c r="A374" s="651" t="str">
        <f>'PB VIII - Composições Auxilia'!A267</f>
        <v>COMP. 30 - DPE</v>
      </c>
      <c r="B374" s="651" t="s">
        <v>634</v>
      </c>
      <c r="C374" s="650" t="s">
        <v>635</v>
      </c>
      <c r="D374" s="651" t="s">
        <v>95</v>
      </c>
      <c r="E374" s="432">
        <v>5</v>
      </c>
      <c r="F374" s="432">
        <f>'PB VIII - Composições Auxilia'!F274</f>
        <v>10.47</v>
      </c>
      <c r="G374" s="652">
        <f t="shared" si="49"/>
        <v>52.35</v>
      </c>
      <c r="H374" s="654"/>
      <c r="M374" s="695">
        <f t="shared" si="48"/>
        <v>997182.95</v>
      </c>
    </row>
    <row r="375" s="625" customFormat="1" ht="22.5" spans="1:13">
      <c r="A375" s="651" t="str">
        <f>'PB VIII - Composições Auxilia'!A276</f>
        <v>COMP. 31 - DPE</v>
      </c>
      <c r="B375" s="651" t="s">
        <v>636</v>
      </c>
      <c r="C375" s="650" t="s">
        <v>637</v>
      </c>
      <c r="D375" s="651" t="s">
        <v>20</v>
      </c>
      <c r="E375" s="432">
        <v>1</v>
      </c>
      <c r="F375" s="653">
        <f>'PB VIII - Composições Auxilia'!F286</f>
        <v>31.08</v>
      </c>
      <c r="G375" s="652">
        <f t="shared" si="49"/>
        <v>31.08</v>
      </c>
      <c r="H375" s="654"/>
      <c r="M375" s="695">
        <f t="shared" si="48"/>
        <v>997182.95</v>
      </c>
    </row>
    <row r="376" s="625" customFormat="1" ht="22.5" spans="1:13">
      <c r="A376" s="651" t="str">
        <f>'PB VIII - Composições Auxilia'!A288</f>
        <v>COMP. 32 - DPE</v>
      </c>
      <c r="B376" s="651" t="s">
        <v>638</v>
      </c>
      <c r="C376" s="650" t="s">
        <v>639</v>
      </c>
      <c r="D376" s="651" t="s">
        <v>20</v>
      </c>
      <c r="E376" s="432">
        <v>4</v>
      </c>
      <c r="F376" s="653">
        <f>'PB VIII - Composições Auxilia'!F298</f>
        <v>33.37</v>
      </c>
      <c r="G376" s="652">
        <f t="shared" si="49"/>
        <v>133.48</v>
      </c>
      <c r="H376" s="654"/>
      <c r="M376" s="695">
        <f t="shared" si="48"/>
        <v>997182.95</v>
      </c>
    </row>
    <row r="377" s="625" customFormat="1" ht="22.5" spans="1:13">
      <c r="A377" s="651" t="str">
        <f>'PB VIII - Composições Auxilia'!A301</f>
        <v>COMP. 33 - DPE</v>
      </c>
      <c r="B377" s="651" t="s">
        <v>640</v>
      </c>
      <c r="C377" s="650" t="s">
        <v>641</v>
      </c>
      <c r="D377" s="651" t="s">
        <v>20</v>
      </c>
      <c r="E377" s="432">
        <v>5</v>
      </c>
      <c r="F377" s="653">
        <f>'PB VIII - Composições Auxilia'!F311</f>
        <v>27.03</v>
      </c>
      <c r="G377" s="652">
        <f t="shared" ref="G377:G388" si="50">ROUND(E377*F377,2)</f>
        <v>135.15</v>
      </c>
      <c r="H377" s="654"/>
      <c r="M377" s="695">
        <f t="shared" si="48"/>
        <v>997182.95</v>
      </c>
    </row>
    <row r="378" s="625" customFormat="1" ht="22.5" spans="1:13">
      <c r="A378" s="651" t="str">
        <f>'PB VIII - Composições Auxilia'!A313</f>
        <v>COMP. 34 - DPE</v>
      </c>
      <c r="B378" s="651" t="s">
        <v>642</v>
      </c>
      <c r="C378" s="650" t="s">
        <v>643</v>
      </c>
      <c r="D378" s="651" t="s">
        <v>20</v>
      </c>
      <c r="E378" s="432">
        <v>1</v>
      </c>
      <c r="F378" s="653">
        <f>'PB VIII - Composições Auxilia'!F320</f>
        <v>18.72</v>
      </c>
      <c r="G378" s="652">
        <f t="shared" si="50"/>
        <v>18.72</v>
      </c>
      <c r="H378" s="654"/>
      <c r="M378" s="695">
        <f t="shared" si="48"/>
        <v>997182.95</v>
      </c>
    </row>
    <row r="379" s="625" customFormat="1" ht="22.5" spans="1:13">
      <c r="A379" s="651" t="str">
        <f>'PB VIII - Composições Auxilia'!A322</f>
        <v>COMP. 35 - DPE</v>
      </c>
      <c r="B379" s="651" t="s">
        <v>644</v>
      </c>
      <c r="C379" s="650" t="s">
        <v>645</v>
      </c>
      <c r="D379" s="651" t="s">
        <v>20</v>
      </c>
      <c r="E379" s="432">
        <v>5</v>
      </c>
      <c r="F379" s="653">
        <f>'PB VIII - Composições Auxilia'!F328</f>
        <v>6.6</v>
      </c>
      <c r="G379" s="652">
        <f t="shared" si="50"/>
        <v>33</v>
      </c>
      <c r="H379" s="654"/>
      <c r="M379" s="695">
        <f t="shared" si="48"/>
        <v>997182.95</v>
      </c>
    </row>
    <row r="380" s="625" customFormat="1" ht="22.5" spans="1:13">
      <c r="A380" s="651" t="str">
        <f>'PB VIII - Composições Auxilia'!A330</f>
        <v>COMP. 36 - DPE</v>
      </c>
      <c r="B380" s="651" t="s">
        <v>646</v>
      </c>
      <c r="C380" s="650" t="s">
        <v>647</v>
      </c>
      <c r="D380" s="651" t="s">
        <v>20</v>
      </c>
      <c r="E380" s="432">
        <v>17</v>
      </c>
      <c r="F380" s="653">
        <f>'PB VIII - Composições Auxilia'!F336</f>
        <v>6.58</v>
      </c>
      <c r="G380" s="652">
        <f t="shared" si="50"/>
        <v>111.86</v>
      </c>
      <c r="H380" s="654"/>
      <c r="M380" s="695">
        <f t="shared" si="48"/>
        <v>997182.95</v>
      </c>
    </row>
    <row r="381" s="625" customFormat="1" ht="22.5" spans="1:13">
      <c r="A381" s="651">
        <v>90447</v>
      </c>
      <c r="B381" s="651" t="s">
        <v>648</v>
      </c>
      <c r="C381" s="692" t="s">
        <v>542</v>
      </c>
      <c r="D381" s="651" t="s">
        <v>95</v>
      </c>
      <c r="E381" s="432">
        <f>'PB VI - Memorial'!G543</f>
        <v>49.3</v>
      </c>
      <c r="F381" s="432">
        <v>4.66</v>
      </c>
      <c r="G381" s="693">
        <f t="shared" si="50"/>
        <v>229.74</v>
      </c>
      <c r="H381" s="654"/>
      <c r="M381" s="695">
        <f t="shared" si="48"/>
        <v>997182.95</v>
      </c>
    </row>
    <row r="382" s="625" customFormat="1" ht="22.5" spans="1:13">
      <c r="A382" s="651">
        <v>90466</v>
      </c>
      <c r="B382" s="651" t="s">
        <v>649</v>
      </c>
      <c r="C382" s="692" t="s">
        <v>544</v>
      </c>
      <c r="D382" s="651" t="s">
        <v>95</v>
      </c>
      <c r="E382" s="432">
        <f>E381</f>
        <v>49.3</v>
      </c>
      <c r="F382" s="432">
        <v>9.66</v>
      </c>
      <c r="G382" s="693">
        <f t="shared" si="50"/>
        <v>476.24</v>
      </c>
      <c r="H382" s="654"/>
      <c r="M382" s="695">
        <f t="shared" si="48"/>
        <v>997182.95</v>
      </c>
    </row>
    <row r="383" s="625" customFormat="1" ht="22.5" spans="1:13">
      <c r="A383" s="669">
        <v>95745</v>
      </c>
      <c r="B383" s="651" t="s">
        <v>650</v>
      </c>
      <c r="C383" s="650" t="s">
        <v>651</v>
      </c>
      <c r="D383" s="669" t="s">
        <v>95</v>
      </c>
      <c r="E383" s="432">
        <f>55.6-E382</f>
        <v>6.3</v>
      </c>
      <c r="F383" s="653">
        <v>14.39</v>
      </c>
      <c r="G383" s="693">
        <f t="shared" si="50"/>
        <v>90.66</v>
      </c>
      <c r="H383" s="654"/>
      <c r="M383" s="695">
        <f t="shared" si="48"/>
        <v>997182.95</v>
      </c>
    </row>
    <row r="384" s="625" customFormat="1" ht="33.75" spans="1:13">
      <c r="A384" s="669" t="str">
        <f>'PB VIII - Composições Auxilia'!A338</f>
        <v>COMP. 37 - 
DPE</v>
      </c>
      <c r="B384" s="651" t="s">
        <v>652</v>
      </c>
      <c r="C384" s="650" t="s">
        <v>653</v>
      </c>
      <c r="D384" s="669" t="s">
        <v>95</v>
      </c>
      <c r="E384" s="432">
        <v>4</v>
      </c>
      <c r="F384" s="653">
        <f>'PB VIII - Composições Auxilia'!F344</f>
        <v>18.59</v>
      </c>
      <c r="G384" s="693">
        <f t="shared" si="50"/>
        <v>74.36</v>
      </c>
      <c r="H384" s="654"/>
      <c r="M384" s="695">
        <f t="shared" si="48"/>
        <v>997182.95</v>
      </c>
    </row>
    <row r="385" s="625" customFormat="1" ht="22.5" spans="1:13">
      <c r="A385" s="669">
        <v>91854</v>
      </c>
      <c r="B385" s="651" t="s">
        <v>654</v>
      </c>
      <c r="C385" s="692" t="s">
        <v>546</v>
      </c>
      <c r="D385" s="669" t="s">
        <v>95</v>
      </c>
      <c r="E385" s="432">
        <f>E382</f>
        <v>49.3</v>
      </c>
      <c r="F385" s="432">
        <v>6.1</v>
      </c>
      <c r="G385" s="693">
        <f t="shared" si="50"/>
        <v>300.73</v>
      </c>
      <c r="H385" s="654"/>
      <c r="M385" s="695">
        <f t="shared" si="48"/>
        <v>997182.95</v>
      </c>
    </row>
    <row r="386" s="625" customFormat="1" ht="22.5" spans="1:13">
      <c r="A386" s="669">
        <v>93009</v>
      </c>
      <c r="B386" s="651" t="s">
        <v>655</v>
      </c>
      <c r="C386" s="650" t="s">
        <v>656</v>
      </c>
      <c r="D386" s="669" t="s">
        <v>95</v>
      </c>
      <c r="E386" s="432">
        <v>20.7</v>
      </c>
      <c r="F386" s="653">
        <v>13.01</v>
      </c>
      <c r="G386" s="693">
        <f t="shared" si="50"/>
        <v>269.31</v>
      </c>
      <c r="H386" s="654"/>
      <c r="M386" s="695">
        <f t="shared" si="48"/>
        <v>997182.95</v>
      </c>
    </row>
    <row r="387" s="625" customFormat="1" ht="33.75" spans="1:13">
      <c r="A387" s="669">
        <v>83370</v>
      </c>
      <c r="B387" s="651" t="s">
        <v>657</v>
      </c>
      <c r="C387" s="650" t="s">
        <v>658</v>
      </c>
      <c r="D387" s="669" t="s">
        <v>20</v>
      </c>
      <c r="E387" s="432">
        <v>1</v>
      </c>
      <c r="F387" s="653">
        <v>120.58</v>
      </c>
      <c r="G387" s="693">
        <f t="shared" si="50"/>
        <v>120.58</v>
      </c>
      <c r="H387" s="654"/>
      <c r="M387" s="695">
        <f t="shared" si="48"/>
        <v>997182.95</v>
      </c>
    </row>
    <row r="388" s="625" customFormat="1" ht="22.5" spans="1:13">
      <c r="A388" s="752" t="s">
        <v>659</v>
      </c>
      <c r="B388" s="651" t="s">
        <v>660</v>
      </c>
      <c r="C388" s="650" t="s">
        <v>661</v>
      </c>
      <c r="D388" s="669" t="s">
        <v>20</v>
      </c>
      <c r="E388" s="432">
        <v>2</v>
      </c>
      <c r="F388" s="653">
        <v>171.62</v>
      </c>
      <c r="G388" s="653">
        <f t="shared" si="50"/>
        <v>343.24</v>
      </c>
      <c r="H388" s="654"/>
      <c r="M388" s="695">
        <f t="shared" si="48"/>
        <v>997182.95</v>
      </c>
    </row>
    <row r="389" s="625" customFormat="1" ht="12" spans="1:13">
      <c r="A389" s="752"/>
      <c r="B389" s="651"/>
      <c r="C389" s="650"/>
      <c r="D389" s="669"/>
      <c r="E389" s="432"/>
      <c r="F389" s="653"/>
      <c r="G389" s="653"/>
      <c r="H389" s="654"/>
      <c r="M389" s="695"/>
    </row>
    <row r="390" s="625" customFormat="1" ht="12" spans="1:13">
      <c r="A390" s="647"/>
      <c r="B390" s="641">
        <v>20</v>
      </c>
      <c r="C390" s="646" t="s">
        <v>662</v>
      </c>
      <c r="D390" s="647"/>
      <c r="E390" s="674"/>
      <c r="F390" s="674"/>
      <c r="G390" s="649">
        <f>SUM(G391:G392)</f>
        <v>1326.64</v>
      </c>
      <c r="H390" s="654"/>
      <c r="M390" s="695">
        <f t="shared" si="48"/>
        <v>997182.95</v>
      </c>
    </row>
    <row r="391" s="625" customFormat="1" ht="22.5" spans="1:13">
      <c r="A391" s="651" t="str">
        <f>'PB VIII - Composições Auxilia'!A346</f>
        <v>COMP. 38 - DPE</v>
      </c>
      <c r="B391" s="651" t="s">
        <v>663</v>
      </c>
      <c r="C391" s="431" t="s">
        <v>664</v>
      </c>
      <c r="D391" s="651" t="s">
        <v>17</v>
      </c>
      <c r="E391" s="432">
        <f>'PB VI - Memorial'!G547</f>
        <v>3.13</v>
      </c>
      <c r="F391" s="653">
        <f>'PB VIII - Composições Auxilia'!F352</f>
        <v>189.25</v>
      </c>
      <c r="G391" s="652">
        <f>ROUND(E391*F391,2)</f>
        <v>592.35</v>
      </c>
      <c r="M391" s="695">
        <f t="shared" si="48"/>
        <v>997182.95</v>
      </c>
    </row>
    <row r="392" s="625" customFormat="1" ht="22.5" spans="1:13">
      <c r="A392" s="651" t="str">
        <f>'PB VIII - Composições Auxilia'!A346</f>
        <v>COMP. 38 - DPE</v>
      </c>
      <c r="B392" s="651" t="s">
        <v>665</v>
      </c>
      <c r="C392" s="431" t="s">
        <v>666</v>
      </c>
      <c r="D392" s="651" t="s">
        <v>17</v>
      </c>
      <c r="E392" s="432">
        <f>'PB VI - Memorial'!G548</f>
        <v>3.88</v>
      </c>
      <c r="F392" s="670">
        <f>'PB VIII - Composições Auxilia'!F352</f>
        <v>189.25</v>
      </c>
      <c r="G392" s="652">
        <f>ROUND(E392*F392,2)</f>
        <v>734.29</v>
      </c>
      <c r="H392" s="654"/>
      <c r="M392" s="695">
        <f t="shared" si="48"/>
        <v>997182.95</v>
      </c>
    </row>
    <row r="393" s="625" customFormat="1" ht="12" spans="1:13">
      <c r="A393" s="651"/>
      <c r="B393" s="651"/>
      <c r="C393" s="431"/>
      <c r="D393" s="651"/>
      <c r="E393" s="432"/>
      <c r="F393" s="670"/>
      <c r="G393" s="652"/>
      <c r="H393" s="654"/>
      <c r="M393" s="695"/>
    </row>
    <row r="394" s="625" customFormat="1" ht="12" spans="1:13">
      <c r="A394" s="647"/>
      <c r="B394" s="641">
        <v>21</v>
      </c>
      <c r="C394" s="646" t="s">
        <v>667</v>
      </c>
      <c r="D394" s="647"/>
      <c r="E394" s="674"/>
      <c r="F394" s="674"/>
      <c r="G394" s="649">
        <f>SUM(G395:G399)</f>
        <v>27477.83</v>
      </c>
      <c r="M394" s="695">
        <f t="shared" si="48"/>
        <v>997182.95</v>
      </c>
    </row>
    <row r="395" s="625" customFormat="1" ht="45" spans="1:13">
      <c r="A395" s="691" t="s">
        <v>668</v>
      </c>
      <c r="B395" s="651" t="s">
        <v>669</v>
      </c>
      <c r="C395" s="431" t="s">
        <v>670</v>
      </c>
      <c r="D395" s="651" t="s">
        <v>95</v>
      </c>
      <c r="E395" s="432">
        <f>'PB VI - Memorial'!D552</f>
        <v>80.06</v>
      </c>
      <c r="F395" s="670">
        <v>39.4</v>
      </c>
      <c r="G395" s="652">
        <f t="shared" ref="G395:G399" si="51">ROUND(E395*F395,2)</f>
        <v>3154.36</v>
      </c>
      <c r="H395" s="654"/>
      <c r="M395" s="695">
        <f t="shared" si="48"/>
        <v>997182.95</v>
      </c>
    </row>
    <row r="396" s="625" customFormat="1" ht="22.5" spans="1:13">
      <c r="A396" s="651">
        <v>92402</v>
      </c>
      <c r="B396" s="651" t="s">
        <v>671</v>
      </c>
      <c r="C396" s="650" t="s">
        <v>672</v>
      </c>
      <c r="D396" s="651" t="s">
        <v>17</v>
      </c>
      <c r="E396" s="432">
        <f>'PB VI - Memorial'!E553</f>
        <v>15.99</v>
      </c>
      <c r="F396" s="432">
        <v>55.78</v>
      </c>
      <c r="G396" s="652">
        <f t="shared" si="51"/>
        <v>891.92</v>
      </c>
      <c r="H396" s="654"/>
      <c r="M396" s="695">
        <f t="shared" si="48"/>
        <v>997182.95</v>
      </c>
    </row>
    <row r="397" s="625" customFormat="1" ht="22.5" spans="1:13">
      <c r="A397" s="651">
        <v>92393</v>
      </c>
      <c r="B397" s="651" t="s">
        <v>673</v>
      </c>
      <c r="C397" s="650" t="s">
        <v>674</v>
      </c>
      <c r="D397" s="651" t="s">
        <v>17</v>
      </c>
      <c r="E397" s="432">
        <f>'PB VI - Memorial'!E554</f>
        <v>383.57</v>
      </c>
      <c r="F397" s="432">
        <v>46.56</v>
      </c>
      <c r="G397" s="652">
        <f t="shared" si="51"/>
        <v>17859.02</v>
      </c>
      <c r="H397" s="654"/>
      <c r="M397" s="695">
        <f t="shared" si="48"/>
        <v>997182.95</v>
      </c>
    </row>
    <row r="398" s="625" customFormat="1" ht="33.75" spans="1:13">
      <c r="A398" s="651">
        <v>94990</v>
      </c>
      <c r="B398" s="651" t="s">
        <v>675</v>
      </c>
      <c r="C398" s="650" t="s">
        <v>676</v>
      </c>
      <c r="D398" s="651" t="s">
        <v>23</v>
      </c>
      <c r="E398" s="432">
        <f>'PB VI - Memorial'!E555*0.1</f>
        <v>8.706</v>
      </c>
      <c r="F398" s="432">
        <v>601.52</v>
      </c>
      <c r="G398" s="652">
        <f t="shared" si="51"/>
        <v>5236.83</v>
      </c>
      <c r="H398" s="654"/>
      <c r="M398" s="695">
        <f t="shared" si="48"/>
        <v>997182.95</v>
      </c>
    </row>
    <row r="399" s="625" customFormat="1" ht="22.5" spans="1:13">
      <c r="A399" s="651" t="s">
        <v>677</v>
      </c>
      <c r="B399" s="651" t="s">
        <v>678</v>
      </c>
      <c r="C399" s="650" t="s">
        <v>679</v>
      </c>
      <c r="D399" s="651" t="s">
        <v>17</v>
      </c>
      <c r="E399" s="432">
        <f>'PB VI - Memorial'!E556</f>
        <v>30</v>
      </c>
      <c r="F399" s="432">
        <v>11.19</v>
      </c>
      <c r="G399" s="652">
        <f t="shared" si="51"/>
        <v>335.7</v>
      </c>
      <c r="H399" s="654"/>
      <c r="M399" s="695">
        <f t="shared" si="48"/>
        <v>997182.95</v>
      </c>
    </row>
    <row r="400" s="625" customFormat="1" ht="12" spans="1:13">
      <c r="A400" s="651"/>
      <c r="B400" s="651"/>
      <c r="C400" s="650"/>
      <c r="D400" s="651"/>
      <c r="E400" s="432"/>
      <c r="F400" s="432"/>
      <c r="G400" s="652"/>
      <c r="H400" s="654"/>
      <c r="M400" s="695">
        <f t="shared" si="48"/>
        <v>997182.95</v>
      </c>
    </row>
    <row r="401" s="625" customFormat="1" ht="12" spans="1:13">
      <c r="A401" s="647"/>
      <c r="B401" s="641">
        <v>22</v>
      </c>
      <c r="C401" s="646" t="s">
        <v>680</v>
      </c>
      <c r="D401" s="647"/>
      <c r="E401" s="674"/>
      <c r="F401" s="674"/>
      <c r="G401" s="649">
        <f>SUM(G402:G407)</f>
        <v>1468.34</v>
      </c>
      <c r="H401" s="654"/>
      <c r="M401" s="695">
        <f t="shared" si="48"/>
        <v>997182.95</v>
      </c>
    </row>
    <row r="402" s="625" customFormat="1" ht="12" spans="1:13">
      <c r="A402" s="651">
        <v>89168</v>
      </c>
      <c r="B402" s="651" t="s">
        <v>681</v>
      </c>
      <c r="C402" s="650" t="s">
        <v>682</v>
      </c>
      <c r="D402" s="651" t="s">
        <v>17</v>
      </c>
      <c r="E402" s="432">
        <f>'PB VI - Memorial'!F560</f>
        <v>11.5</v>
      </c>
      <c r="F402" s="670">
        <v>58.27</v>
      </c>
      <c r="G402" s="652">
        <f>ROUND(E402*F402,2)</f>
        <v>670.11</v>
      </c>
      <c r="H402" s="654"/>
      <c r="M402" s="695">
        <f t="shared" si="48"/>
        <v>997182.95</v>
      </c>
    </row>
    <row r="403" s="625" customFormat="1" ht="12" spans="1:13">
      <c r="A403" s="651">
        <v>95241</v>
      </c>
      <c r="B403" s="651" t="s">
        <v>683</v>
      </c>
      <c r="C403" s="650" t="s">
        <v>684</v>
      </c>
      <c r="D403" s="651" t="s">
        <v>17</v>
      </c>
      <c r="E403" s="432">
        <f>'PB VI - Memorial'!F561</f>
        <v>1</v>
      </c>
      <c r="F403" s="670">
        <v>21.57</v>
      </c>
      <c r="G403" s="652">
        <f t="shared" ref="G403:G407" si="52">ROUND(E403*F403,2)</f>
        <v>21.57</v>
      </c>
      <c r="H403" s="654"/>
      <c r="M403" s="695">
        <f t="shared" si="48"/>
        <v>997182.95</v>
      </c>
    </row>
    <row r="404" s="625" customFormat="1" ht="12" spans="1:13">
      <c r="A404" s="651">
        <v>92544</v>
      </c>
      <c r="B404" s="651" t="s">
        <v>685</v>
      </c>
      <c r="C404" s="650" t="s">
        <v>686</v>
      </c>
      <c r="D404" s="651" t="s">
        <v>17</v>
      </c>
      <c r="E404" s="432">
        <f>'PB VI - Memorial'!F562</f>
        <v>2.25</v>
      </c>
      <c r="F404" s="670">
        <v>9.38</v>
      </c>
      <c r="G404" s="652">
        <f t="shared" si="52"/>
        <v>21.11</v>
      </c>
      <c r="H404" s="654"/>
      <c r="M404" s="695">
        <f t="shared" si="48"/>
        <v>997182.95</v>
      </c>
    </row>
    <row r="405" s="625" customFormat="1" ht="12" spans="1:13">
      <c r="A405" s="651">
        <v>94207</v>
      </c>
      <c r="B405" s="651" t="s">
        <v>687</v>
      </c>
      <c r="C405" s="650" t="s">
        <v>688</v>
      </c>
      <c r="D405" s="651" t="s">
        <v>17</v>
      </c>
      <c r="E405" s="432">
        <f>'PB VI - Memorial'!F562</f>
        <v>2.25</v>
      </c>
      <c r="F405" s="670">
        <v>30.8</v>
      </c>
      <c r="G405" s="652">
        <f t="shared" si="52"/>
        <v>69.3</v>
      </c>
      <c r="H405" s="654"/>
      <c r="M405" s="695">
        <f t="shared" si="48"/>
        <v>997182.95</v>
      </c>
    </row>
    <row r="406" s="625" customFormat="1" ht="12" spans="1:13">
      <c r="A406" s="651">
        <v>94990</v>
      </c>
      <c r="B406" s="651" t="s">
        <v>689</v>
      </c>
      <c r="C406" s="650" t="s">
        <v>690</v>
      </c>
      <c r="D406" s="651" t="s">
        <v>23</v>
      </c>
      <c r="E406" s="432">
        <f>'PB VI - Memorial'!G563</f>
        <v>0.7</v>
      </c>
      <c r="F406" s="670">
        <v>601.52</v>
      </c>
      <c r="G406" s="652">
        <f t="shared" si="52"/>
        <v>421.06</v>
      </c>
      <c r="H406" s="654"/>
      <c r="M406" s="695">
        <f t="shared" si="48"/>
        <v>997182.95</v>
      </c>
    </row>
    <row r="407" s="625" customFormat="1" ht="12" spans="1:13">
      <c r="A407" s="651">
        <v>7156</v>
      </c>
      <c r="B407" s="651" t="s">
        <v>691</v>
      </c>
      <c r="C407" s="650" t="s">
        <v>692</v>
      </c>
      <c r="D407" s="651" t="s">
        <v>17</v>
      </c>
      <c r="E407" s="432">
        <f>'PB VI - Memorial'!F560</f>
        <v>11.5</v>
      </c>
      <c r="F407" s="670">
        <v>23.06</v>
      </c>
      <c r="G407" s="652">
        <f t="shared" si="52"/>
        <v>265.19</v>
      </c>
      <c r="H407" s="654"/>
      <c r="M407" s="695">
        <f t="shared" si="48"/>
        <v>997182.95</v>
      </c>
    </row>
    <row r="408" s="625" customFormat="1" ht="12" spans="1:13">
      <c r="A408" s="651"/>
      <c r="B408" s="651"/>
      <c r="C408" s="650"/>
      <c r="D408" s="651"/>
      <c r="E408" s="432"/>
      <c r="F408" s="432"/>
      <c r="G408" s="652"/>
      <c r="H408" s="654"/>
      <c r="M408" s="695">
        <f t="shared" si="48"/>
        <v>997182.95</v>
      </c>
    </row>
    <row r="409" s="625" customFormat="1" ht="12" spans="1:13">
      <c r="A409" s="647"/>
      <c r="B409" s="641">
        <v>23</v>
      </c>
      <c r="C409" s="646" t="s">
        <v>693</v>
      </c>
      <c r="D409" s="647"/>
      <c r="E409" s="674"/>
      <c r="F409" s="674"/>
      <c r="G409" s="649">
        <f>SUM(G410:G418)</f>
        <v>18067.62</v>
      </c>
      <c r="H409" s="654"/>
      <c r="M409" s="695">
        <f t="shared" si="48"/>
        <v>997182.95</v>
      </c>
    </row>
    <row r="410" s="625" customFormat="1" ht="12" spans="1:13">
      <c r="A410" s="651"/>
      <c r="B410" s="651"/>
      <c r="C410" s="431"/>
      <c r="D410" s="651"/>
      <c r="E410" s="432"/>
      <c r="F410" s="653"/>
      <c r="G410" s="652"/>
      <c r="H410" s="654"/>
      <c r="I410" s="625" t="s">
        <v>694</v>
      </c>
      <c r="M410" s="695">
        <f t="shared" si="48"/>
        <v>997182.95</v>
      </c>
    </row>
    <row r="411" s="625" customFormat="1" ht="22.5" spans="1:13">
      <c r="A411" s="651" t="str">
        <f>'PB VIII - Composições Auxilia'!A354</f>
        <v>COMP. 39 - DPE</v>
      </c>
      <c r="B411" s="651" t="s">
        <v>695</v>
      </c>
      <c r="C411" s="650" t="s">
        <v>696</v>
      </c>
      <c r="D411" s="651" t="s">
        <v>20</v>
      </c>
      <c r="E411" s="432">
        <v>1</v>
      </c>
      <c r="F411" s="653">
        <f>'PB VIII - Composições Auxilia'!F358</f>
        <v>19.31</v>
      </c>
      <c r="G411" s="652">
        <f t="shared" ref="G411:G418" si="53">ROUND(E411*F411,2)</f>
        <v>19.31</v>
      </c>
      <c r="H411" s="654"/>
      <c r="M411" s="695">
        <f t="shared" si="48"/>
        <v>997182.95</v>
      </c>
    </row>
    <row r="412" s="625" customFormat="1" ht="22.5" spans="1:13">
      <c r="A412" s="651" t="str">
        <f>'PB VIII - Composições Auxilia'!A360</f>
        <v>COMP. 40 - DPE</v>
      </c>
      <c r="B412" s="651" t="s">
        <v>697</v>
      </c>
      <c r="C412" s="650" t="s">
        <v>698</v>
      </c>
      <c r="D412" s="651" t="s">
        <v>20</v>
      </c>
      <c r="E412" s="432">
        <v>1</v>
      </c>
      <c r="F412" s="653">
        <f>'PB VIII - Composições Auxilia'!F364</f>
        <v>19.44</v>
      </c>
      <c r="G412" s="652">
        <f t="shared" si="53"/>
        <v>19.44</v>
      </c>
      <c r="H412" s="644"/>
      <c r="M412" s="695">
        <f t="shared" si="48"/>
        <v>997182.95</v>
      </c>
    </row>
    <row r="413" ht="15" spans="1:13">
      <c r="A413" s="651">
        <v>9537</v>
      </c>
      <c r="B413" s="651" t="s">
        <v>699</v>
      </c>
      <c r="C413" s="650" t="s">
        <v>700</v>
      </c>
      <c r="D413" s="651" t="s">
        <v>17</v>
      </c>
      <c r="E413" s="432">
        <f>'PB VI - Memorial'!G8</f>
        <v>263.9</v>
      </c>
      <c r="F413" s="670">
        <v>2.02</v>
      </c>
      <c r="G413" s="652">
        <f t="shared" si="53"/>
        <v>533.08</v>
      </c>
      <c r="I413" s="777"/>
      <c r="J413" s="777"/>
      <c r="M413" s="695">
        <f t="shared" si="48"/>
        <v>997182.95</v>
      </c>
    </row>
    <row r="414" ht="33.75" spans="1:13">
      <c r="A414" s="651">
        <v>10851</v>
      </c>
      <c r="B414" s="651" t="s">
        <v>701</v>
      </c>
      <c r="C414" s="650" t="s">
        <v>702</v>
      </c>
      <c r="D414" s="651" t="s">
        <v>20</v>
      </c>
      <c r="E414" s="432">
        <v>17</v>
      </c>
      <c r="F414" s="670">
        <v>43.99</v>
      </c>
      <c r="G414" s="652">
        <f t="shared" si="53"/>
        <v>747.83</v>
      </c>
      <c r="I414" s="777"/>
      <c r="J414" s="777"/>
      <c r="M414" s="695">
        <f t="shared" si="48"/>
        <v>997182.95</v>
      </c>
    </row>
    <row r="415" ht="56.25" spans="1:13">
      <c r="A415" s="651" t="str">
        <f>'PB VII - Cotação'!A117</f>
        <v>COTAÇÃO 028</v>
      </c>
      <c r="B415" s="651" t="s">
        <v>703</v>
      </c>
      <c r="C415" s="650" t="s">
        <v>704</v>
      </c>
      <c r="D415" s="651" t="s">
        <v>20</v>
      </c>
      <c r="E415" s="432">
        <v>1</v>
      </c>
      <c r="F415" s="432">
        <f>'PB VII - Cotação'!F119</f>
        <v>8750.42</v>
      </c>
      <c r="G415" s="652">
        <f t="shared" si="53"/>
        <v>8750.42</v>
      </c>
      <c r="I415" s="777"/>
      <c r="J415" s="777"/>
      <c r="M415" s="695">
        <f t="shared" si="48"/>
        <v>997182.95</v>
      </c>
    </row>
    <row r="416" ht="24" customHeight="1" spans="1:13">
      <c r="A416" s="651">
        <v>10848</v>
      </c>
      <c r="B416" s="651" t="s">
        <v>705</v>
      </c>
      <c r="C416" s="650" t="s">
        <v>706</v>
      </c>
      <c r="D416" s="651" t="s">
        <v>20</v>
      </c>
      <c r="E416" s="432">
        <v>1</v>
      </c>
      <c r="F416" s="670">
        <v>678.38</v>
      </c>
      <c r="G416" s="652">
        <f t="shared" si="53"/>
        <v>678.38</v>
      </c>
      <c r="H416" s="753"/>
      <c r="I416" s="778"/>
      <c r="J416" s="777"/>
      <c r="M416" s="695">
        <f t="shared" si="48"/>
        <v>997182.95</v>
      </c>
    </row>
    <row r="417" ht="15" spans="1:13">
      <c r="A417" s="651" t="s">
        <v>707</v>
      </c>
      <c r="B417" s="651" t="s">
        <v>708</v>
      </c>
      <c r="C417" s="650" t="s">
        <v>709</v>
      </c>
      <c r="D417" s="651" t="s">
        <v>17</v>
      </c>
      <c r="E417" s="653">
        <f>3*2*2</f>
        <v>12</v>
      </c>
      <c r="F417" s="653">
        <v>598.14</v>
      </c>
      <c r="G417" s="652">
        <f t="shared" si="53"/>
        <v>7177.68</v>
      </c>
      <c r="H417" s="754">
        <f>SUM(G10:G422)/2</f>
        <v>713997.8</v>
      </c>
      <c r="I417" s="779">
        <f>F424-G420</f>
        <v>619128.47</v>
      </c>
      <c r="J417" s="777"/>
      <c r="M417" s="695">
        <f t="shared" si="48"/>
        <v>997182.95</v>
      </c>
    </row>
    <row r="418" ht="15" spans="1:13">
      <c r="A418" s="651" t="s">
        <v>341</v>
      </c>
      <c r="B418" s="651" t="s">
        <v>710</v>
      </c>
      <c r="C418" s="650" t="s">
        <v>711</v>
      </c>
      <c r="D418" s="651" t="s">
        <v>17</v>
      </c>
      <c r="E418" s="653">
        <f>E417</f>
        <v>12</v>
      </c>
      <c r="F418" s="653">
        <v>11.79</v>
      </c>
      <c r="G418" s="652">
        <f t="shared" si="53"/>
        <v>141.48</v>
      </c>
      <c r="H418" s="755">
        <f>F425*10/100</f>
        <v>92155.696</v>
      </c>
      <c r="I418" s="777"/>
      <c r="J418" s="777"/>
      <c r="M418" s="695">
        <f t="shared" si="48"/>
        <v>997182.95</v>
      </c>
    </row>
    <row r="419" ht="15" spans="1:13">
      <c r="A419" s="756"/>
      <c r="B419" s="651"/>
      <c r="C419" s="650"/>
      <c r="D419" s="651"/>
      <c r="E419" s="653"/>
      <c r="F419" s="653"/>
      <c r="G419" s="652"/>
      <c r="H419" s="755"/>
      <c r="I419" s="777"/>
      <c r="J419" s="777"/>
      <c r="M419" s="695">
        <f t="shared" si="48"/>
        <v>997182.95</v>
      </c>
    </row>
    <row r="420" customHeight="1" spans="1:13">
      <c r="A420" s="647"/>
      <c r="B420" s="641">
        <v>24</v>
      </c>
      <c r="C420" s="646" t="s">
        <v>712</v>
      </c>
      <c r="D420" s="641"/>
      <c r="E420" s="757"/>
      <c r="F420" s="757"/>
      <c r="G420" s="649">
        <f>SUM(G421:G422)</f>
        <v>94869.33</v>
      </c>
      <c r="H420" s="755">
        <f>F424+F429</f>
        <v>776534.8</v>
      </c>
      <c r="I420" s="780">
        <f>H417+G428</f>
        <v>776534.8</v>
      </c>
      <c r="J420" s="777"/>
      <c r="M420" s="695">
        <f t="shared" si="48"/>
        <v>997182.95</v>
      </c>
    </row>
    <row r="421" ht="22.5" spans="1:13">
      <c r="A421" s="669" t="str">
        <f>'PB VIII - Composições Auxilia'!A366</f>
        <v>COMP. 41 - DPE</v>
      </c>
      <c r="B421" s="669" t="s">
        <v>713</v>
      </c>
      <c r="C421" s="692" t="s">
        <v>714</v>
      </c>
      <c r="D421" s="758" t="s">
        <v>20</v>
      </c>
      <c r="E421" s="759">
        <v>1</v>
      </c>
      <c r="F421" s="693">
        <f>'PB VIII - Composições Auxilia'!F370</f>
        <v>17083.85</v>
      </c>
      <c r="G421" s="693">
        <f>ROUND(E421*F421,2)</f>
        <v>17083.85</v>
      </c>
      <c r="I421" s="777"/>
      <c r="J421" s="777"/>
      <c r="M421" s="695">
        <f t="shared" si="48"/>
        <v>997182.95</v>
      </c>
    </row>
    <row r="422" ht="24.95" customHeight="1" spans="1:13">
      <c r="A422" s="669" t="str">
        <f>'PB VIII - Composições Auxilia'!A373</f>
        <v>COMP. 42 - DPE</v>
      </c>
      <c r="B422" s="669" t="s">
        <v>715</v>
      </c>
      <c r="C422" s="692" t="s">
        <v>716</v>
      </c>
      <c r="D422" s="758" t="s">
        <v>20</v>
      </c>
      <c r="E422" s="759">
        <v>1</v>
      </c>
      <c r="F422" s="693">
        <f>'PB VIII - Composições Auxilia'!F378</f>
        <v>77785.48</v>
      </c>
      <c r="G422" s="693">
        <f>ROUND(E422*F422,2)</f>
        <v>77785.48</v>
      </c>
      <c r="I422" s="777"/>
      <c r="J422" s="777"/>
      <c r="M422" s="695">
        <f t="shared" si="48"/>
        <v>997182.95</v>
      </c>
    </row>
    <row r="423" customHeight="1" spans="1:13">
      <c r="A423" s="760"/>
      <c r="B423" s="760"/>
      <c r="C423" s="761"/>
      <c r="D423" s="760"/>
      <c r="E423" s="760"/>
      <c r="F423" s="760"/>
      <c r="G423" s="760"/>
      <c r="I423" s="777"/>
      <c r="J423" s="777"/>
      <c r="M423" s="695"/>
    </row>
    <row r="424" ht="15" spans="1:13">
      <c r="A424" s="762" t="s">
        <v>717</v>
      </c>
      <c r="B424" s="763"/>
      <c r="C424" s="763"/>
      <c r="D424" s="763"/>
      <c r="E424" s="764"/>
      <c r="F424" s="765">
        <f>ROUND(SUM(G10,G63,G67,G145,G161,G166,G172,G199,G204,G409,G420,G281,G296,G305,G177,G214,G236,G269,G365,G390,G394,G207,G31,G401),2)</f>
        <v>713997.8</v>
      </c>
      <c r="G424" s="766"/>
      <c r="I424" s="779">
        <f>F424*6/100</f>
        <v>42839.868</v>
      </c>
      <c r="J424" s="777"/>
      <c r="M424" s="695"/>
    </row>
    <row r="425" customHeight="1" spans="1:13">
      <c r="A425" s="762" t="s">
        <v>718</v>
      </c>
      <c r="B425" s="763"/>
      <c r="C425" s="763"/>
      <c r="D425" s="763"/>
      <c r="E425" s="764"/>
      <c r="F425" s="765">
        <f>ROUND(F424*(1+'PB IX - BDI'!I23),2)</f>
        <v>921556.96</v>
      </c>
      <c r="G425" s="766"/>
      <c r="I425" s="777"/>
      <c r="J425" s="777"/>
      <c r="M425" s="695"/>
    </row>
    <row r="426" ht="15" spans="1:13">
      <c r="A426" s="760"/>
      <c r="B426" s="760"/>
      <c r="C426" s="761"/>
      <c r="D426" s="760"/>
      <c r="E426" s="760"/>
      <c r="F426" s="760"/>
      <c r="G426" s="760"/>
      <c r="M426" s="695"/>
    </row>
    <row r="427" ht="15" spans="1:13">
      <c r="A427" s="647"/>
      <c r="B427" s="641">
        <v>25</v>
      </c>
      <c r="C427" s="646" t="s">
        <v>719</v>
      </c>
      <c r="D427" s="647"/>
      <c r="E427" s="674"/>
      <c r="F427" s="674"/>
      <c r="G427" s="649">
        <f>G428</f>
        <v>62537</v>
      </c>
      <c r="M427" s="695"/>
    </row>
    <row r="428" ht="56.25" spans="1:13">
      <c r="A428" s="756" t="str">
        <f>'PB VII - Cotação'!A113</f>
        <v>COTAÇÃO 027</v>
      </c>
      <c r="B428" s="669" t="s">
        <v>720</v>
      </c>
      <c r="C428" s="692" t="s">
        <v>721</v>
      </c>
      <c r="D428" s="651" t="s">
        <v>20</v>
      </c>
      <c r="E428" s="432">
        <v>1</v>
      </c>
      <c r="F428" s="432">
        <f>'PB VII - Cotação'!F115</f>
        <v>62537</v>
      </c>
      <c r="G428" s="767">
        <f>ROUND(E428*F428,2)</f>
        <v>62537</v>
      </c>
      <c r="M428" s="695">
        <f t="shared" ref="M428" si="54">$F$432</f>
        <v>997182.95</v>
      </c>
    </row>
    <row r="429" ht="11.25" customHeight="1" spans="1:7">
      <c r="A429" s="762" t="s">
        <v>717</v>
      </c>
      <c r="B429" s="763"/>
      <c r="C429" s="763"/>
      <c r="D429" s="763"/>
      <c r="E429" s="764"/>
      <c r="F429" s="765">
        <f>ROUND(SUM(G428),2)</f>
        <v>62537</v>
      </c>
      <c r="G429" s="766"/>
    </row>
    <row r="430" customHeight="1" spans="1:7">
      <c r="A430" s="762" t="s">
        <v>722</v>
      </c>
      <c r="B430" s="763"/>
      <c r="C430" s="763"/>
      <c r="D430" s="763"/>
      <c r="E430" s="764"/>
      <c r="F430" s="765">
        <f>ROUND(F429*(1+'PB IX - BDI dif.'!I22),2)</f>
        <v>75625.99</v>
      </c>
      <c r="G430" s="766"/>
    </row>
    <row r="431" customHeight="1" spans="1:7">
      <c r="A431" s="768"/>
      <c r="B431" s="768"/>
      <c r="C431" s="761"/>
      <c r="D431" s="768"/>
      <c r="E431" s="768"/>
      <c r="F431" s="768"/>
      <c r="G431" s="768"/>
    </row>
    <row r="432" customHeight="1" spans="1:7">
      <c r="A432" s="762" t="s">
        <v>717</v>
      </c>
      <c r="B432" s="763"/>
      <c r="C432" s="763"/>
      <c r="D432" s="763"/>
      <c r="E432" s="764"/>
      <c r="F432" s="765">
        <f>ROUND(SUM(F430+F425),2)</f>
        <v>997182.95</v>
      </c>
      <c r="G432" s="766"/>
    </row>
    <row r="433" ht="35.25" customHeight="1" spans="1:7">
      <c r="A433" s="769" t="s">
        <v>723</v>
      </c>
      <c r="B433" s="770"/>
      <c r="C433" s="770"/>
      <c r="D433" s="770"/>
      <c r="E433" s="770"/>
      <c r="F433" s="770"/>
      <c r="G433" s="771"/>
    </row>
    <row r="434" customHeight="1" spans="1:7">
      <c r="A434" s="772"/>
      <c r="B434" s="772"/>
      <c r="C434" s="772"/>
      <c r="D434" s="772"/>
      <c r="E434" s="772"/>
      <c r="F434" s="772"/>
      <c r="G434" s="772"/>
    </row>
    <row r="435" customHeight="1" spans="1:7">
      <c r="A435" s="773" t="s">
        <v>724</v>
      </c>
      <c r="B435" s="773"/>
      <c r="C435" s="773"/>
      <c r="D435" s="773"/>
      <c r="E435" s="773"/>
      <c r="F435" s="773"/>
      <c r="G435" s="773"/>
    </row>
    <row r="436" customHeight="1" spans="1:7">
      <c r="A436" s="774"/>
      <c r="B436" s="774"/>
      <c r="C436" s="775"/>
      <c r="D436" s="774"/>
      <c r="E436" s="774"/>
      <c r="F436" s="774"/>
      <c r="G436" s="774"/>
    </row>
    <row r="437" customHeight="1" spans="3:7">
      <c r="C437" s="776"/>
      <c r="F437" s="490"/>
      <c r="G437" s="490"/>
    </row>
    <row r="438" customHeight="1" spans="3:3">
      <c r="C438" s="776"/>
    </row>
    <row r="439" customHeight="1" spans="3:3">
      <c r="C439" s="776"/>
    </row>
    <row r="440" customHeight="1" spans="3:3">
      <c r="C440" s="776"/>
    </row>
  </sheetData>
  <mergeCells count="16">
    <mergeCell ref="A2:G2"/>
    <mergeCell ref="A4:G4"/>
    <mergeCell ref="A7:C7"/>
    <mergeCell ref="D7:G7"/>
    <mergeCell ref="A424:E424"/>
    <mergeCell ref="F424:G424"/>
    <mergeCell ref="A425:E425"/>
    <mergeCell ref="F425:G425"/>
    <mergeCell ref="A429:E429"/>
    <mergeCell ref="F429:G429"/>
    <mergeCell ref="A430:E430"/>
    <mergeCell ref="F430:G430"/>
    <mergeCell ref="A432:E432"/>
    <mergeCell ref="F432:G432"/>
    <mergeCell ref="A433:G433"/>
    <mergeCell ref="A435:G435"/>
  </mergeCells>
  <printOptions horizontalCentered="1"/>
  <pageMargins left="0.393055555555556" right="0" top="1.57430555555556" bottom="0.393055555555556" header="0" footer="0"/>
  <pageSetup paperSize="9" scale="87" orientation="portrait"/>
  <headerFooter>
    <oddHeader>&amp;C&amp;9
&amp;15&amp;G&amp;12
DEFENSORIA PÚBLICA DO ESTADO DE RORAIMA
&amp;"Garamond,Itálico"“Amazônia: Patrimônio dos brasileiros”&amp;"-,Regular"&amp;9
____________________________________________________________________________________________________</oddHeader>
    <oddFooter>&amp;CPágina &amp;P de &amp;N</oddFooter>
  </headerFooter>
  <rowBreaks count="1" manualBreakCount="1">
    <brk id="426" max="6" man="1"/>
  </rowBreaks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K89"/>
  <sheetViews>
    <sheetView view="pageBreakPreview" zoomScale="115" zoomScaleNormal="100" zoomScaleSheetLayoutView="115" topLeftCell="A76" workbookViewId="0">
      <selection activeCell="A1" sqref="A1:J1"/>
    </sheetView>
  </sheetViews>
  <sheetFormatPr defaultColWidth="9.14285714285714" defaultRowHeight="15"/>
  <cols>
    <col min="1" max="1" width="5.85714285714286" style="561" customWidth="1"/>
    <col min="2" max="2" width="23.5714285714286" style="19" customWidth="1"/>
    <col min="3" max="5" width="9" style="19" customWidth="1"/>
    <col min="6" max="6" width="10" style="19" customWidth="1"/>
    <col min="7" max="7" width="9.42857142857143" style="562" customWidth="1"/>
    <col min="8" max="10" width="9.14285714285714" style="19"/>
    <col min="11" max="16384" width="9.14285714285714" style="563"/>
  </cols>
  <sheetData>
    <row r="1" customHeight="1" spans="1:11">
      <c r="A1" s="564" t="s">
        <v>725</v>
      </c>
      <c r="B1" s="565"/>
      <c r="C1" s="565"/>
      <c r="D1" s="565"/>
      <c r="E1" s="565"/>
      <c r="F1" s="565"/>
      <c r="G1" s="565"/>
      <c r="H1" s="565"/>
      <c r="I1" s="565"/>
      <c r="J1" s="565"/>
      <c r="K1" s="605"/>
    </row>
    <row r="2" ht="3.6" customHeight="1" spans="1:11">
      <c r="A2" s="566"/>
      <c r="B2" s="567"/>
      <c r="C2" s="567"/>
      <c r="D2" s="567"/>
      <c r="E2" s="567"/>
      <c r="F2" s="567"/>
      <c r="G2" s="567"/>
      <c r="H2" s="567"/>
      <c r="I2" s="567"/>
      <c r="J2" s="567"/>
      <c r="K2" s="606"/>
    </row>
    <row r="3" ht="22.5" customHeight="1" spans="1:11">
      <c r="A3" s="568" t="str">
        <f>'PB III - Orçamento Sintetico'!A4:G4</f>
        <v>OBRA: CONSTRUÇÃO DA SEDE DA DEFENSORIA PÚBLICA DO ESTADO DE RORAIMA NO MUNICIPIO DO BONFIM - DPE/RR</v>
      </c>
      <c r="B3" s="569"/>
      <c r="C3" s="569"/>
      <c r="D3" s="569"/>
      <c r="E3" s="569"/>
      <c r="F3" s="569"/>
      <c r="G3" s="569"/>
      <c r="H3" s="569"/>
      <c r="I3" s="569"/>
      <c r="J3" s="569"/>
      <c r="K3" s="607"/>
    </row>
    <row r="4" ht="3.75" customHeight="1" spans="1:11">
      <c r="A4" s="283"/>
      <c r="B4" s="283"/>
      <c r="C4" s="283"/>
      <c r="D4" s="283"/>
      <c r="E4" s="283"/>
      <c r="F4" s="283"/>
      <c r="G4" s="283"/>
      <c r="H4" s="283"/>
      <c r="I4" s="283"/>
      <c r="J4" s="283"/>
      <c r="K4" s="148"/>
    </row>
    <row r="5" ht="3" customHeight="1" spans="1:11">
      <c r="A5" s="566"/>
      <c r="B5" s="567"/>
      <c r="C5" s="567"/>
      <c r="D5" s="567"/>
      <c r="E5" s="567"/>
      <c r="F5" s="567"/>
      <c r="G5" s="567"/>
      <c r="H5" s="567"/>
      <c r="I5" s="567"/>
      <c r="J5" s="567"/>
      <c r="K5" s="606"/>
    </row>
    <row r="6" ht="13.5" customHeight="1" spans="1:11">
      <c r="A6" s="570" t="s">
        <v>5</v>
      </c>
      <c r="B6" s="571" t="s">
        <v>726</v>
      </c>
      <c r="C6" s="570" t="s">
        <v>727</v>
      </c>
      <c r="D6" s="570" t="s">
        <v>728</v>
      </c>
      <c r="E6" s="570" t="s">
        <v>729</v>
      </c>
      <c r="F6" s="570" t="s">
        <v>730</v>
      </c>
      <c r="G6" s="570" t="s">
        <v>731</v>
      </c>
      <c r="H6" s="570" t="s">
        <v>732</v>
      </c>
      <c r="I6" s="570" t="s">
        <v>733</v>
      </c>
      <c r="J6" s="570" t="s">
        <v>734</v>
      </c>
      <c r="K6" s="606"/>
    </row>
    <row r="7" ht="3.6" customHeight="1" spans="1:11">
      <c r="A7" s="572"/>
      <c r="B7" s="573"/>
      <c r="C7" s="573"/>
      <c r="D7" s="573"/>
      <c r="E7" s="573"/>
      <c r="F7" s="573"/>
      <c r="G7" s="573"/>
      <c r="H7" s="573"/>
      <c r="I7" s="573"/>
      <c r="J7" s="573"/>
      <c r="K7" s="606"/>
    </row>
    <row r="8" ht="11.25" customHeight="1" spans="1:11">
      <c r="A8" s="574">
        <v>1</v>
      </c>
      <c r="B8" s="575" t="s">
        <v>11</v>
      </c>
      <c r="C8" s="576">
        <v>0.9</v>
      </c>
      <c r="D8" s="577"/>
      <c r="E8" s="577"/>
      <c r="F8" s="577"/>
      <c r="G8" s="577"/>
      <c r="H8" s="577"/>
      <c r="I8" s="576">
        <v>0.1</v>
      </c>
      <c r="J8" s="608">
        <f>'PB III - Orçamento Sintetico'!G10</f>
        <v>38477.82</v>
      </c>
      <c r="K8" s="606"/>
    </row>
    <row r="9" ht="11.25" customHeight="1" spans="1:11">
      <c r="A9" s="574"/>
      <c r="B9" s="575"/>
      <c r="C9" s="578">
        <f>IF((C8*$J$8=0)," ",ROUND(C8*$J$8,2))</f>
        <v>34630.04</v>
      </c>
      <c r="D9" s="578" t="str">
        <f>IF((D8*$J$8=0)," ",ROUND(D8*$J$8,2))</f>
        <v> </v>
      </c>
      <c r="E9" s="578" t="s">
        <v>439</v>
      </c>
      <c r="F9" s="578" t="str">
        <f t="shared" ref="F9:I9" si="0">IF((F8*$J$8=0)," ",ROUND(F8*$J$8,2))</f>
        <v> </v>
      </c>
      <c r="G9" s="578" t="str">
        <f t="shared" si="0"/>
        <v> </v>
      </c>
      <c r="H9" s="578" t="str">
        <f t="shared" si="0"/>
        <v> </v>
      </c>
      <c r="I9" s="578">
        <f t="shared" si="0"/>
        <v>3847.78</v>
      </c>
      <c r="J9" s="609"/>
      <c r="K9" s="610"/>
    </row>
    <row r="10" ht="8.45" customHeight="1" spans="1:11">
      <c r="A10" s="574"/>
      <c r="B10" s="575"/>
      <c r="C10" s="579"/>
      <c r="D10" s="580"/>
      <c r="E10" s="580"/>
      <c r="F10" s="580"/>
      <c r="G10" s="580"/>
      <c r="H10" s="580"/>
      <c r="I10" s="579"/>
      <c r="J10" s="611"/>
      <c r="K10" s="606"/>
    </row>
    <row r="11" ht="11.25" customHeight="1" spans="1:11">
      <c r="A11" s="574">
        <v>2</v>
      </c>
      <c r="B11" s="575" t="s">
        <v>53</v>
      </c>
      <c r="C11" s="576">
        <v>0.05</v>
      </c>
      <c r="D11" s="576">
        <v>0.2</v>
      </c>
      <c r="E11" s="576">
        <v>0.3</v>
      </c>
      <c r="F11" s="576">
        <v>0.25</v>
      </c>
      <c r="G11" s="576">
        <v>0.2</v>
      </c>
      <c r="H11" s="576"/>
      <c r="I11" s="576"/>
      <c r="J11" s="612">
        <f>'PB III - Orçamento Sintetico'!G31</f>
        <v>67185.16</v>
      </c>
      <c r="K11" s="606"/>
    </row>
    <row r="12" ht="11.25" customHeight="1" spans="1:11">
      <c r="A12" s="574"/>
      <c r="B12" s="575"/>
      <c r="C12" s="581">
        <f>IF((C11*$J$11=0)," ",ROUND(C11*$J$11,2))</f>
        <v>3359.26</v>
      </c>
      <c r="D12" s="581">
        <f t="shared" ref="D12:G12" si="1">IF((D11*$J$11=0)," ",ROUND(D11*$J$11,2))</f>
        <v>13437.03</v>
      </c>
      <c r="E12" s="581">
        <f t="shared" si="1"/>
        <v>20155.55</v>
      </c>
      <c r="F12" s="581">
        <f t="shared" si="1"/>
        <v>16796.29</v>
      </c>
      <c r="G12" s="581">
        <f t="shared" si="1"/>
        <v>13437.03</v>
      </c>
      <c r="H12" s="578"/>
      <c r="I12" s="578"/>
      <c r="J12" s="613"/>
      <c r="K12" s="606"/>
    </row>
    <row r="13" ht="8.45" customHeight="1" spans="1:11">
      <c r="A13" s="574"/>
      <c r="B13" s="575"/>
      <c r="C13" s="579"/>
      <c r="D13" s="579"/>
      <c r="E13" s="579"/>
      <c r="F13" s="579"/>
      <c r="G13" s="579"/>
      <c r="H13" s="582"/>
      <c r="I13" s="582"/>
      <c r="J13" s="614"/>
      <c r="K13" s="606"/>
    </row>
    <row r="14" ht="11.25" customHeight="1" spans="1:11">
      <c r="A14" s="574">
        <v>3</v>
      </c>
      <c r="B14" s="575" t="s">
        <v>106</v>
      </c>
      <c r="C14" s="576">
        <v>0.2</v>
      </c>
      <c r="D14" s="583">
        <v>0.8</v>
      </c>
      <c r="E14" s="576"/>
      <c r="F14" s="576"/>
      <c r="G14" s="576"/>
      <c r="H14" s="576"/>
      <c r="I14" s="576"/>
      <c r="J14" s="612">
        <f>'PB III - Orçamento Sintetico'!G63</f>
        <v>6119.13</v>
      </c>
      <c r="K14" s="606"/>
    </row>
    <row r="15" ht="11.25" customHeight="1" spans="1:11">
      <c r="A15" s="574"/>
      <c r="B15" s="575"/>
      <c r="C15" s="578">
        <v>1223.83</v>
      </c>
      <c r="D15" s="578">
        <v>4895.3</v>
      </c>
      <c r="E15" s="578"/>
      <c r="F15" s="578"/>
      <c r="G15" s="578"/>
      <c r="H15" s="578"/>
      <c r="I15" s="578"/>
      <c r="J15" s="613"/>
      <c r="K15" s="610"/>
    </row>
    <row r="16" ht="8.45" customHeight="1" spans="1:11">
      <c r="A16" s="574"/>
      <c r="B16" s="575"/>
      <c r="C16" s="584"/>
      <c r="D16" s="584"/>
      <c r="E16" s="582"/>
      <c r="F16" s="582"/>
      <c r="G16" s="582"/>
      <c r="H16" s="582"/>
      <c r="I16" s="582"/>
      <c r="J16" s="614"/>
      <c r="K16" s="606"/>
    </row>
    <row r="17" ht="11.25" customHeight="1" spans="1:11">
      <c r="A17" s="574">
        <v>4</v>
      </c>
      <c r="B17" s="575" t="s">
        <v>735</v>
      </c>
      <c r="C17" s="576"/>
      <c r="D17" s="583">
        <v>0.3</v>
      </c>
      <c r="E17" s="583">
        <v>0.3</v>
      </c>
      <c r="F17" s="585">
        <v>0.2</v>
      </c>
      <c r="G17" s="585">
        <v>0.2</v>
      </c>
      <c r="H17" s="585"/>
      <c r="I17" s="585"/>
      <c r="J17" s="612">
        <f>'PB III - Orçamento Sintetico'!G67</f>
        <v>139812.75</v>
      </c>
      <c r="K17" s="606"/>
    </row>
    <row r="18" ht="11.25" customHeight="1" spans="1:11">
      <c r="A18" s="574"/>
      <c r="B18" s="575"/>
      <c r="C18" s="578" t="str">
        <f>IF((C17*$J$17=0)," ",ROUND(C17*$J$17,2))</f>
        <v> </v>
      </c>
      <c r="D18" s="578">
        <f>IF((D17*$J$17=0)," ",ROUND(D17*$J$17,2))</f>
        <v>41943.83</v>
      </c>
      <c r="E18" s="578">
        <f>IF((E17*$J$17=0)," ",ROUND(E17*$J$17,2))</f>
        <v>41943.83</v>
      </c>
      <c r="F18" s="578">
        <f>IF((F17*$J$17=0)," ",ROUND(F17*$J$17,2))</f>
        <v>27962.55</v>
      </c>
      <c r="G18" s="578">
        <v>27962.55</v>
      </c>
      <c r="H18" s="586"/>
      <c r="I18" s="586"/>
      <c r="J18" s="613"/>
      <c r="K18" s="610"/>
    </row>
    <row r="19" ht="8.45" customHeight="1" spans="1:11">
      <c r="A19" s="574"/>
      <c r="B19" s="575"/>
      <c r="C19" s="587"/>
      <c r="D19" s="584"/>
      <c r="E19" s="584"/>
      <c r="F19" s="584"/>
      <c r="G19" s="584"/>
      <c r="H19" s="588"/>
      <c r="I19" s="588"/>
      <c r="J19" s="614"/>
      <c r="K19" s="606"/>
    </row>
    <row r="20" ht="11.25" customHeight="1" spans="1:11">
      <c r="A20" s="574">
        <v>5</v>
      </c>
      <c r="B20" s="575" t="s">
        <v>736</v>
      </c>
      <c r="C20" s="576"/>
      <c r="D20" s="583">
        <v>0.1</v>
      </c>
      <c r="E20" s="583">
        <v>0.4</v>
      </c>
      <c r="F20" s="583">
        <v>0.4</v>
      </c>
      <c r="G20" s="583">
        <v>0.1</v>
      </c>
      <c r="H20" s="585"/>
      <c r="I20" s="585"/>
      <c r="J20" s="612">
        <f>'PB III - Orçamento Sintetico'!G145</f>
        <v>41246.34</v>
      </c>
      <c r="K20" s="606"/>
    </row>
    <row r="21" ht="11.25" customHeight="1" spans="1:11">
      <c r="A21" s="574"/>
      <c r="B21" s="575"/>
      <c r="C21" s="578" t="str">
        <f>IF((C20*$J$20=0)," ",ROUND(C20*$J$20,2))</f>
        <v> </v>
      </c>
      <c r="D21" s="578">
        <f>IF((D20*$J$20=0)," ",ROUND(D20*$J$20,2))</f>
        <v>4124.63</v>
      </c>
      <c r="E21" s="578">
        <f t="shared" ref="E21:G21" si="2">IF((E20*$J$20=0)," ",ROUND(E20*$J$20,2))</f>
        <v>16498.54</v>
      </c>
      <c r="F21" s="578">
        <f t="shared" si="2"/>
        <v>16498.54</v>
      </c>
      <c r="G21" s="578">
        <f t="shared" si="2"/>
        <v>4124.63</v>
      </c>
      <c r="H21" s="586"/>
      <c r="I21" s="586"/>
      <c r="J21" s="613"/>
      <c r="K21" s="610"/>
    </row>
    <row r="22" ht="8.45" customHeight="1" spans="1:11">
      <c r="A22" s="574"/>
      <c r="B22" s="575"/>
      <c r="C22" s="587"/>
      <c r="D22" s="584"/>
      <c r="E22" s="584"/>
      <c r="F22" s="584"/>
      <c r="G22" s="584"/>
      <c r="H22" s="588"/>
      <c r="I22" s="588"/>
      <c r="J22" s="614"/>
      <c r="K22" s="606"/>
    </row>
    <row r="23" ht="11.25" customHeight="1" spans="1:11">
      <c r="A23" s="574">
        <v>6</v>
      </c>
      <c r="B23" s="575" t="s">
        <v>737</v>
      </c>
      <c r="C23" s="576"/>
      <c r="D23" s="583"/>
      <c r="E23" s="583">
        <v>0.4</v>
      </c>
      <c r="F23" s="583">
        <v>0.4</v>
      </c>
      <c r="G23" s="583">
        <v>0.2</v>
      </c>
      <c r="H23" s="585"/>
      <c r="I23" s="585"/>
      <c r="J23" s="612">
        <f>'PB III - Orçamento Sintetico'!G161</f>
        <v>39097.65</v>
      </c>
      <c r="K23" s="606"/>
    </row>
    <row r="24" ht="11.25" customHeight="1" spans="1:11">
      <c r="A24" s="574"/>
      <c r="B24" s="575"/>
      <c r="C24" s="578" t="str">
        <f>IF((C23*$J$23=0)," ",ROUND(C23*$J$23,2))</f>
        <v> </v>
      </c>
      <c r="D24" s="578" t="str">
        <f>IF((D23*$J$23=0)," ",ROUND(D23*$J$23,2))</f>
        <v> </v>
      </c>
      <c r="E24" s="578">
        <f>IF((E23*$J$23=0)," ",ROUND(E23*$J$23,2))</f>
        <v>15639.06</v>
      </c>
      <c r="F24" s="578">
        <f>IF((F23*$J$23=0)," ",ROUND(F23*$J$23,2))</f>
        <v>15639.06</v>
      </c>
      <c r="G24" s="578">
        <f>IF((G23*$J$23=0)," ",ROUND(G23*$J$23,2))</f>
        <v>7819.53</v>
      </c>
      <c r="H24" s="586"/>
      <c r="I24" s="586"/>
      <c r="J24" s="613"/>
      <c r="K24" s="610"/>
    </row>
    <row r="25" ht="8.45" customHeight="1" spans="1:11">
      <c r="A25" s="574"/>
      <c r="B25" s="575"/>
      <c r="C25" s="587"/>
      <c r="D25" s="588"/>
      <c r="E25" s="584"/>
      <c r="F25" s="584"/>
      <c r="G25" s="584"/>
      <c r="H25" s="588"/>
      <c r="I25" s="588"/>
      <c r="J25" s="614"/>
      <c r="K25" s="606"/>
    </row>
    <row r="26" ht="11.25" customHeight="1" spans="1:11">
      <c r="A26" s="574">
        <v>7</v>
      </c>
      <c r="B26" s="589" t="s">
        <v>267</v>
      </c>
      <c r="C26" s="576"/>
      <c r="D26" s="583"/>
      <c r="E26" s="583">
        <v>0.1</v>
      </c>
      <c r="F26" s="583">
        <v>0.3</v>
      </c>
      <c r="G26" s="583">
        <v>0.3</v>
      </c>
      <c r="H26" s="583">
        <v>0.2</v>
      </c>
      <c r="I26" s="583">
        <v>0.1</v>
      </c>
      <c r="J26" s="612">
        <f>'PB III - Orçamento Sintetico'!G166</f>
        <v>44179.11</v>
      </c>
      <c r="K26" s="606"/>
    </row>
    <row r="27" ht="11.25" customHeight="1" spans="1:11">
      <c r="A27" s="574"/>
      <c r="B27" s="590"/>
      <c r="C27" s="578" t="str">
        <f t="shared" ref="C27:I27" si="3">IF((C26*$J$26=0)," ",ROUND(C26*$J$26,2))</f>
        <v> </v>
      </c>
      <c r="D27" s="578" t="str">
        <f t="shared" si="3"/>
        <v> </v>
      </c>
      <c r="E27" s="578">
        <f t="shared" si="3"/>
        <v>4417.91</v>
      </c>
      <c r="F27" s="578">
        <f t="shared" si="3"/>
        <v>13253.73</v>
      </c>
      <c r="G27" s="578">
        <f t="shared" si="3"/>
        <v>13253.73</v>
      </c>
      <c r="H27" s="578">
        <f t="shared" si="3"/>
        <v>8835.82</v>
      </c>
      <c r="I27" s="578">
        <f t="shared" si="3"/>
        <v>4417.91</v>
      </c>
      <c r="J27" s="613"/>
      <c r="K27" s="610"/>
    </row>
    <row r="28" ht="8.45" customHeight="1" spans="1:11">
      <c r="A28" s="574"/>
      <c r="B28" s="591"/>
      <c r="C28" s="588"/>
      <c r="D28" s="588"/>
      <c r="E28" s="584"/>
      <c r="F28" s="584"/>
      <c r="G28" s="584"/>
      <c r="H28" s="584"/>
      <c r="I28" s="584"/>
      <c r="J28" s="614"/>
      <c r="K28" s="606"/>
    </row>
    <row r="29" ht="11.25" customHeight="1" spans="1:11">
      <c r="A29" s="574">
        <v>8</v>
      </c>
      <c r="B29" s="589" t="s">
        <v>276</v>
      </c>
      <c r="C29" s="576"/>
      <c r="D29" s="576"/>
      <c r="E29" s="576"/>
      <c r="F29" s="576">
        <v>0.2</v>
      </c>
      <c r="G29" s="583">
        <v>0.4</v>
      </c>
      <c r="H29" s="583">
        <v>0.2</v>
      </c>
      <c r="I29" s="583">
        <v>0.2</v>
      </c>
      <c r="J29" s="612">
        <f>'PB III - Orçamento Sintetico'!G172</f>
        <v>23165.84</v>
      </c>
      <c r="K29" s="606"/>
    </row>
    <row r="30" ht="11.25" customHeight="1" spans="1:11">
      <c r="A30" s="574"/>
      <c r="B30" s="590"/>
      <c r="C30" s="578" t="str">
        <f t="shared" ref="C30:E30" si="4">IF((C29*$J$26=0)," ",ROUND(C29*$J$26,2))</f>
        <v> </v>
      </c>
      <c r="D30" s="578" t="str">
        <f t="shared" si="4"/>
        <v> </v>
      </c>
      <c r="E30" s="578" t="str">
        <f t="shared" si="4"/>
        <v> </v>
      </c>
      <c r="F30" s="578">
        <f>IF((F29*$J$29=0)," ",ROUND(F29*$J$29,2))</f>
        <v>4633.17</v>
      </c>
      <c r="G30" s="578">
        <f>IF((G29*$J$29=0)," ",ROUND(G29*$J$29,2))</f>
        <v>9266.34</v>
      </c>
      <c r="H30" s="578">
        <f>IF((H29*$J$29=0)," ",ROUND(H29*$J$29,2))</f>
        <v>4633.17</v>
      </c>
      <c r="I30" s="578">
        <f>IF((I29*$J$29=0)," ",ROUND(I29*$J$29,2))</f>
        <v>4633.17</v>
      </c>
      <c r="J30" s="613"/>
      <c r="K30" s="610"/>
    </row>
    <row r="31" ht="8.45" customHeight="1" spans="1:11">
      <c r="A31" s="574"/>
      <c r="B31" s="591"/>
      <c r="C31" s="588"/>
      <c r="D31" s="588"/>
      <c r="E31" s="588"/>
      <c r="F31" s="584"/>
      <c r="G31" s="584"/>
      <c r="H31" s="584"/>
      <c r="I31" s="584"/>
      <c r="J31" s="614"/>
      <c r="K31" s="606"/>
    </row>
    <row r="32" ht="11.25" customHeight="1" spans="1:11">
      <c r="A32" s="574">
        <v>9</v>
      </c>
      <c r="B32" s="592" t="s">
        <v>738</v>
      </c>
      <c r="C32" s="576"/>
      <c r="D32" s="576"/>
      <c r="E32" s="576"/>
      <c r="F32" s="583">
        <v>0.25</v>
      </c>
      <c r="G32" s="583">
        <v>0.25</v>
      </c>
      <c r="H32" s="583">
        <v>0.25</v>
      </c>
      <c r="I32" s="583">
        <v>0.25</v>
      </c>
      <c r="J32" s="612">
        <f>'PB III - Orçamento Sintetico'!G177</f>
        <v>36339.81</v>
      </c>
      <c r="K32" s="606"/>
    </row>
    <row r="33" ht="11.25" customHeight="1" spans="1:11">
      <c r="A33" s="574"/>
      <c r="B33" s="593"/>
      <c r="C33" s="578" t="str">
        <f t="shared" ref="C33:E33" si="5">IF((C32*$J$26=0)," ",ROUND(C32*$J$26,2))</f>
        <v> </v>
      </c>
      <c r="D33" s="578" t="str">
        <f t="shared" si="5"/>
        <v> </v>
      </c>
      <c r="E33" s="578" t="str">
        <f t="shared" si="5"/>
        <v> </v>
      </c>
      <c r="F33" s="578">
        <f>IF((F32*$J$32=0)," ",ROUND(F32*$J$32,2))</f>
        <v>9084.95</v>
      </c>
      <c r="G33" s="578">
        <f>IF((G32*$J$32=0)," ",ROUND(G32*$J$32,2))</f>
        <v>9084.95</v>
      </c>
      <c r="H33" s="578">
        <f>IF((H32*$J$32=0)," ",ROUND(H32*$J$32,2))</f>
        <v>9084.95</v>
      </c>
      <c r="I33" s="578">
        <f>IF((I32*$J$32=0)," ",ROUND(I32*$J$32,2))</f>
        <v>9084.95</v>
      </c>
      <c r="J33" s="613"/>
      <c r="K33" s="610"/>
    </row>
    <row r="34" ht="8.45" customHeight="1" spans="1:11">
      <c r="A34" s="574"/>
      <c r="B34" s="594"/>
      <c r="C34" s="588"/>
      <c r="D34" s="588"/>
      <c r="E34" s="588"/>
      <c r="F34" s="584"/>
      <c r="G34" s="584"/>
      <c r="H34" s="584"/>
      <c r="I34" s="584"/>
      <c r="J34" s="614"/>
      <c r="K34" s="606"/>
    </row>
    <row r="35" s="560" customFormat="1" ht="10.5" customHeight="1" spans="1:11">
      <c r="A35" s="574">
        <v>10</v>
      </c>
      <c r="B35" s="595" t="s">
        <v>739</v>
      </c>
      <c r="C35" s="576"/>
      <c r="D35" s="576"/>
      <c r="E35" s="576"/>
      <c r="F35" s="576">
        <v>0.25</v>
      </c>
      <c r="G35" s="576">
        <v>0.25</v>
      </c>
      <c r="H35" s="576">
        <v>0.25</v>
      </c>
      <c r="I35" s="576">
        <v>0.25</v>
      </c>
      <c r="J35" s="612">
        <f>'PB III - Orçamento Sintetico'!G199</f>
        <v>5132.14</v>
      </c>
      <c r="K35" s="606"/>
    </row>
    <row r="36" s="560" customFormat="1" ht="12" customHeight="1" spans="1:11">
      <c r="A36" s="574"/>
      <c r="B36" s="595"/>
      <c r="C36" s="578" t="str">
        <f t="shared" ref="C36:E36" si="6">IF((C35*$J$26=0)," ",ROUND(C35*$J$26,2))</f>
        <v> </v>
      </c>
      <c r="D36" s="578" t="str">
        <f t="shared" si="6"/>
        <v> </v>
      </c>
      <c r="E36" s="578" t="str">
        <f t="shared" si="6"/>
        <v> </v>
      </c>
      <c r="F36" s="578">
        <f>IF((F35*$J$35=0)," ",ROUND(F35*$J$35,2))</f>
        <v>1283.04</v>
      </c>
      <c r="G36" s="578">
        <f t="shared" ref="G36:I36" si="7">IF((G35*$J$35=0)," ",ROUND(G35*$J$35,2))</f>
        <v>1283.04</v>
      </c>
      <c r="H36" s="578">
        <f t="shared" si="7"/>
        <v>1283.04</v>
      </c>
      <c r="I36" s="578">
        <f t="shared" si="7"/>
        <v>1283.04</v>
      </c>
      <c r="J36" s="613"/>
      <c r="K36" s="610"/>
    </row>
    <row r="37" s="560" customFormat="1" ht="9.75" customHeight="1" spans="1:11">
      <c r="A37" s="574"/>
      <c r="B37" s="595"/>
      <c r="C37" s="588"/>
      <c r="D37" s="588"/>
      <c r="E37" s="588"/>
      <c r="F37" s="596"/>
      <c r="G37" s="596"/>
      <c r="H37" s="596"/>
      <c r="I37" s="596"/>
      <c r="J37" s="614"/>
      <c r="K37" s="606"/>
    </row>
    <row r="38" spans="1:11">
      <c r="A38" s="574">
        <v>11</v>
      </c>
      <c r="B38" s="597" t="s">
        <v>333</v>
      </c>
      <c r="C38" s="576"/>
      <c r="D38" s="576"/>
      <c r="E38" s="576"/>
      <c r="F38" s="598">
        <v>0.4</v>
      </c>
      <c r="G38" s="599">
        <v>0.3</v>
      </c>
      <c r="H38" s="599">
        <v>0.3</v>
      </c>
      <c r="I38" s="615"/>
      <c r="J38" s="612">
        <f>'PB III - Orçamento Sintetico'!G204</f>
        <v>18914.51</v>
      </c>
      <c r="K38" s="616"/>
    </row>
    <row r="39" spans="1:11">
      <c r="A39" s="574"/>
      <c r="B39" s="600"/>
      <c r="C39" s="578" t="str">
        <f t="shared" ref="C39:E39" si="8">IF((C38*$J$26=0)," ",ROUND(C38*$J$26,2))</f>
        <v> </v>
      </c>
      <c r="D39" s="578" t="str">
        <f t="shared" si="8"/>
        <v> </v>
      </c>
      <c r="E39" s="578" t="str">
        <f t="shared" si="8"/>
        <v> </v>
      </c>
      <c r="F39" s="601">
        <f>IF((F38*$J$38=0)," ",ROUND(F38*$J$38,2))</f>
        <v>7565.8</v>
      </c>
      <c r="G39" s="601">
        <f>IF((G38*$J$38=0)," ",ROUND(G38*$J$38,2))</f>
        <v>5674.35</v>
      </c>
      <c r="H39" s="601">
        <f>IF((H38*$J$38=0)," ",ROUND(H38*$J$38,2))</f>
        <v>5674.35</v>
      </c>
      <c r="I39" s="617"/>
      <c r="J39" s="613"/>
      <c r="K39" s="616"/>
    </row>
    <row r="40" ht="9" customHeight="1" spans="1:11">
      <c r="A40" s="574"/>
      <c r="B40" s="602"/>
      <c r="C40" s="588"/>
      <c r="D40" s="588"/>
      <c r="E40" s="588"/>
      <c r="F40" s="603"/>
      <c r="G40" s="603"/>
      <c r="H40" s="603"/>
      <c r="I40" s="618"/>
      <c r="J40" s="614"/>
      <c r="K40" s="616"/>
    </row>
    <row r="41" customHeight="1" spans="1:11">
      <c r="A41" s="574">
        <v>12</v>
      </c>
      <c r="B41" s="595" t="s">
        <v>336</v>
      </c>
      <c r="C41" s="576"/>
      <c r="D41" s="576"/>
      <c r="E41" s="576"/>
      <c r="F41" s="598">
        <v>0.3</v>
      </c>
      <c r="G41" s="599">
        <v>0.3</v>
      </c>
      <c r="H41" s="599">
        <v>0.2</v>
      </c>
      <c r="I41" s="599">
        <v>0.2</v>
      </c>
      <c r="J41" s="612">
        <f>'PB III - Orçamento Sintetico'!G207</f>
        <v>25236.12</v>
      </c>
      <c r="K41" s="606"/>
    </row>
    <row r="42" spans="1:11">
      <c r="A42" s="574"/>
      <c r="B42" s="595"/>
      <c r="C42" s="578" t="str">
        <f t="shared" ref="C42:E42" si="9">IF((C41*$J$26=0)," ",ROUND(C41*$J$26,2))</f>
        <v> </v>
      </c>
      <c r="D42" s="578" t="str">
        <f t="shared" si="9"/>
        <v> </v>
      </c>
      <c r="E42" s="578" t="str">
        <f t="shared" si="9"/>
        <v> </v>
      </c>
      <c r="F42" s="601">
        <f>IF((F41*$J$41=0)," ",ROUND(F41*$J$41,2))</f>
        <v>7570.84</v>
      </c>
      <c r="G42" s="601">
        <f>IF((G41*$J$41=0)," ",ROUND(G41*$J$41,2))</f>
        <v>7570.84</v>
      </c>
      <c r="H42" s="601">
        <f>IF((H41*$J$41=0)," ",ROUND(H41*$J$41,2))</f>
        <v>5047.22</v>
      </c>
      <c r="I42" s="601">
        <f>IF((I41*$J$41=0)," ",ROUND(I41*$J$41,2))</f>
        <v>5047.22</v>
      </c>
      <c r="J42" s="613"/>
      <c r="K42" s="606"/>
    </row>
    <row r="43" ht="9" customHeight="1" spans="1:11">
      <c r="A43" s="574"/>
      <c r="B43" s="595"/>
      <c r="C43" s="588"/>
      <c r="D43" s="588"/>
      <c r="E43" s="588"/>
      <c r="F43" s="603"/>
      <c r="G43" s="603"/>
      <c r="H43" s="603"/>
      <c r="I43" s="603"/>
      <c r="J43" s="614"/>
      <c r="K43" s="606"/>
    </row>
    <row r="44" spans="1:11">
      <c r="A44" s="574">
        <v>13</v>
      </c>
      <c r="B44" s="604" t="s">
        <v>348</v>
      </c>
      <c r="C44" s="576"/>
      <c r="D44" s="576"/>
      <c r="E44" s="598">
        <v>0.2</v>
      </c>
      <c r="F44" s="598">
        <v>0.2</v>
      </c>
      <c r="G44" s="598">
        <v>0.2</v>
      </c>
      <c r="H44" s="598">
        <v>0.2</v>
      </c>
      <c r="I44" s="598">
        <v>0.2</v>
      </c>
      <c r="J44" s="612">
        <f>'PB III - Orçamento Sintetico'!G214</f>
        <v>1975.35</v>
      </c>
      <c r="K44" s="606"/>
    </row>
    <row r="45" spans="1:11">
      <c r="A45" s="574"/>
      <c r="B45" s="604"/>
      <c r="C45" s="578" t="str">
        <f t="shared" ref="C45:D45" si="10">IF((C44*$J$26=0)," ",ROUND(C44*$J$26,2))</f>
        <v> </v>
      </c>
      <c r="D45" s="578" t="str">
        <f t="shared" si="10"/>
        <v> </v>
      </c>
      <c r="E45" s="601">
        <f>IF((E44*$J$44=0)," ",ROUND(E44*$J$44,2))</f>
        <v>395.07</v>
      </c>
      <c r="F45" s="601">
        <f t="shared" ref="F45:I45" si="11">IF((F44*$J$44=0)," ",ROUND(F44*$J$44,2))</f>
        <v>395.07</v>
      </c>
      <c r="G45" s="601">
        <f t="shared" si="11"/>
        <v>395.07</v>
      </c>
      <c r="H45" s="601">
        <f t="shared" si="11"/>
        <v>395.07</v>
      </c>
      <c r="I45" s="601">
        <f t="shared" si="11"/>
        <v>395.07</v>
      </c>
      <c r="J45" s="613"/>
      <c r="K45" s="606"/>
    </row>
    <row r="46" ht="9.75" customHeight="1" spans="1:11">
      <c r="A46" s="574"/>
      <c r="B46" s="604"/>
      <c r="C46" s="588"/>
      <c r="D46" s="588"/>
      <c r="E46" s="603"/>
      <c r="F46" s="603"/>
      <c r="G46" s="603"/>
      <c r="H46" s="603"/>
      <c r="I46" s="603"/>
      <c r="J46" s="614"/>
      <c r="K46" s="606"/>
    </row>
    <row r="47" spans="1:11">
      <c r="A47" s="574">
        <v>14</v>
      </c>
      <c r="B47" s="595" t="s">
        <v>740</v>
      </c>
      <c r="C47" s="576"/>
      <c r="D47" s="576"/>
      <c r="E47" s="598">
        <v>0.2</v>
      </c>
      <c r="F47" s="598">
        <v>0.2</v>
      </c>
      <c r="G47" s="598">
        <v>0.2</v>
      </c>
      <c r="H47" s="598">
        <v>0.2</v>
      </c>
      <c r="I47" s="598">
        <v>0.2</v>
      </c>
      <c r="J47" s="612">
        <f>'PB III - Orçamento Sintetico'!G236</f>
        <v>7060.81</v>
      </c>
      <c r="K47" s="606"/>
    </row>
    <row r="48" spans="1:11">
      <c r="A48" s="574"/>
      <c r="B48" s="595"/>
      <c r="C48" s="578" t="str">
        <f t="shared" ref="C48:F51" si="12">IF((C47*$J$26=0)," ",ROUND(C47*$J$26,2))</f>
        <v> </v>
      </c>
      <c r="D48" s="578" t="str">
        <f t="shared" si="12"/>
        <v> </v>
      </c>
      <c r="E48" s="601">
        <f t="shared" ref="E48:I48" si="13">IF((E47*$J$47=0)," ",ROUND(E47*$J$47,2))</f>
        <v>1412.16</v>
      </c>
      <c r="F48" s="601">
        <f t="shared" si="13"/>
        <v>1412.16</v>
      </c>
      <c r="G48" s="601">
        <f t="shared" si="13"/>
        <v>1412.16</v>
      </c>
      <c r="H48" s="601">
        <f t="shared" si="13"/>
        <v>1412.16</v>
      </c>
      <c r="I48" s="601">
        <f t="shared" si="13"/>
        <v>1412.16</v>
      </c>
      <c r="J48" s="613"/>
      <c r="K48" s="606"/>
    </row>
    <row r="49" ht="9" customHeight="1" spans="1:11">
      <c r="A49" s="574"/>
      <c r="B49" s="595"/>
      <c r="C49" s="588"/>
      <c r="D49" s="588"/>
      <c r="E49" s="603"/>
      <c r="F49" s="603"/>
      <c r="G49" s="603"/>
      <c r="H49" s="603"/>
      <c r="I49" s="603"/>
      <c r="J49" s="614"/>
      <c r="K49" s="606"/>
    </row>
    <row r="50" customHeight="1" spans="1:11">
      <c r="A50" s="574">
        <v>15</v>
      </c>
      <c r="B50" s="595" t="s">
        <v>440</v>
      </c>
      <c r="C50" s="576"/>
      <c r="D50" s="576"/>
      <c r="E50" s="576"/>
      <c r="F50" s="576"/>
      <c r="G50" s="599">
        <v>0.2</v>
      </c>
      <c r="H50" s="599">
        <v>0.4</v>
      </c>
      <c r="I50" s="599">
        <v>0.4</v>
      </c>
      <c r="J50" s="612">
        <f>'PB III - Orçamento Sintetico'!G269</f>
        <v>8499.91</v>
      </c>
      <c r="K50" s="606"/>
    </row>
    <row r="51" spans="1:11">
      <c r="A51" s="574"/>
      <c r="B51" s="595"/>
      <c r="C51" s="578" t="str">
        <f t="shared" ref="C51:E51" si="14">IF((C50*$J$26=0)," ",ROUND(C50*$J$26,2))</f>
        <v> </v>
      </c>
      <c r="D51" s="578" t="str">
        <f t="shared" si="14"/>
        <v> </v>
      </c>
      <c r="E51" s="578" t="str">
        <f t="shared" si="14"/>
        <v> </v>
      </c>
      <c r="F51" s="578" t="str">
        <f t="shared" si="12"/>
        <v> </v>
      </c>
      <c r="G51" s="601">
        <f t="shared" ref="G51:I51" si="15">IF((G50*$J$50=0)," ",ROUND(G50*$J$50,2))</f>
        <v>1699.98</v>
      </c>
      <c r="H51" s="601">
        <f t="shared" si="15"/>
        <v>3399.96</v>
      </c>
      <c r="I51" s="601">
        <f t="shared" si="15"/>
        <v>3399.96</v>
      </c>
      <c r="J51" s="613"/>
      <c r="K51" s="606"/>
    </row>
    <row r="52" ht="7.5" customHeight="1" spans="1:11">
      <c r="A52" s="574"/>
      <c r="B52" s="595"/>
      <c r="C52" s="588"/>
      <c r="D52" s="588"/>
      <c r="E52" s="588"/>
      <c r="F52" s="588"/>
      <c r="G52" s="603"/>
      <c r="H52" s="603"/>
      <c r="I52" s="603"/>
      <c r="J52" s="614"/>
      <c r="K52" s="606"/>
    </row>
    <row r="53" ht="11.25" customHeight="1" spans="1:11">
      <c r="A53" s="574">
        <v>16</v>
      </c>
      <c r="B53" s="595" t="s">
        <v>741</v>
      </c>
      <c r="C53" s="576"/>
      <c r="D53" s="576"/>
      <c r="E53" s="576"/>
      <c r="F53" s="598">
        <v>0.2</v>
      </c>
      <c r="G53" s="598">
        <v>0.25</v>
      </c>
      <c r="H53" s="598">
        <v>0.25</v>
      </c>
      <c r="I53" s="598">
        <v>0.3</v>
      </c>
      <c r="J53" s="612">
        <f>'PB III - Orçamento Sintetico'!G281</f>
        <v>9632.8</v>
      </c>
      <c r="K53" s="606"/>
    </row>
    <row r="54" ht="11.25" customHeight="1" spans="1:11">
      <c r="A54" s="574"/>
      <c r="B54" s="595"/>
      <c r="C54" s="578" t="str">
        <f t="shared" ref="C54:E54" si="16">IF((C53*$J$26=0)," ",ROUND(C53*$J$26,2))</f>
        <v> </v>
      </c>
      <c r="D54" s="578" t="str">
        <f t="shared" si="16"/>
        <v> </v>
      </c>
      <c r="E54" s="578" t="str">
        <f t="shared" si="16"/>
        <v> </v>
      </c>
      <c r="F54" s="601">
        <f t="shared" ref="F54:I54" si="17">IF((F53*$J$53=0)," ",ROUND(F53*$J$53,2))</f>
        <v>1926.56</v>
      </c>
      <c r="G54" s="601">
        <f t="shared" si="17"/>
        <v>2408.2</v>
      </c>
      <c r="H54" s="601">
        <f t="shared" si="17"/>
        <v>2408.2</v>
      </c>
      <c r="I54" s="601">
        <f t="shared" si="17"/>
        <v>2889.84</v>
      </c>
      <c r="J54" s="613"/>
      <c r="K54" s="606"/>
    </row>
    <row r="55" ht="11.25" customHeight="1" spans="1:11">
      <c r="A55" s="574"/>
      <c r="B55" s="595"/>
      <c r="C55" s="588"/>
      <c r="D55" s="588"/>
      <c r="E55" s="588"/>
      <c r="F55" s="603"/>
      <c r="G55" s="603"/>
      <c r="H55" s="603"/>
      <c r="I55" s="603"/>
      <c r="J55" s="614"/>
      <c r="K55" s="606"/>
    </row>
    <row r="56" ht="11.25" customHeight="1" spans="1:11">
      <c r="A56" s="574">
        <v>17</v>
      </c>
      <c r="B56" s="595" t="s">
        <v>487</v>
      </c>
      <c r="C56" s="576"/>
      <c r="D56" s="576"/>
      <c r="E56" s="576"/>
      <c r="F56" s="576"/>
      <c r="G56" s="576"/>
      <c r="H56" s="598">
        <v>0.5</v>
      </c>
      <c r="I56" s="598">
        <v>0.5</v>
      </c>
      <c r="J56" s="612">
        <f>'PB III - Orçamento Sintetico'!G296</f>
        <v>1837.02</v>
      </c>
      <c r="K56" s="606"/>
    </row>
    <row r="57" spans="1:11">
      <c r="A57" s="574"/>
      <c r="B57" s="595"/>
      <c r="C57" s="578" t="str">
        <f t="shared" ref="C57:G57" si="18">IF((C56*$J$26=0)," ",ROUND(C56*$J$26,2))</f>
        <v> </v>
      </c>
      <c r="D57" s="578" t="str">
        <f t="shared" si="18"/>
        <v> </v>
      </c>
      <c r="E57" s="578" t="str">
        <f t="shared" si="18"/>
        <v> </v>
      </c>
      <c r="F57" s="578" t="str">
        <f t="shared" si="18"/>
        <v> </v>
      </c>
      <c r="G57" s="578" t="str">
        <f t="shared" si="18"/>
        <v> </v>
      </c>
      <c r="H57" s="601">
        <f t="shared" ref="H57:I57" si="19">IF((H56*$J$56=0)," ",ROUND(H56*$J$56,2))</f>
        <v>918.51</v>
      </c>
      <c r="I57" s="601">
        <f t="shared" si="19"/>
        <v>918.51</v>
      </c>
      <c r="J57" s="613"/>
      <c r="K57" s="606"/>
    </row>
    <row r="58" ht="9.75" customHeight="1" spans="1:11">
      <c r="A58" s="574"/>
      <c r="B58" s="595"/>
      <c r="C58" s="588"/>
      <c r="D58" s="588"/>
      <c r="E58" s="588"/>
      <c r="F58" s="588"/>
      <c r="G58" s="588"/>
      <c r="H58" s="603"/>
      <c r="I58" s="603"/>
      <c r="J58" s="614"/>
      <c r="K58" s="606"/>
    </row>
    <row r="59" spans="1:11">
      <c r="A59" s="574">
        <v>18</v>
      </c>
      <c r="B59" s="595" t="s">
        <v>504</v>
      </c>
      <c r="C59" s="576"/>
      <c r="D59" s="576"/>
      <c r="E59" s="598">
        <v>0.2</v>
      </c>
      <c r="F59" s="598">
        <v>0.2</v>
      </c>
      <c r="G59" s="598">
        <v>0.2</v>
      </c>
      <c r="H59" s="598">
        <v>0.2</v>
      </c>
      <c r="I59" s="598">
        <v>0.2</v>
      </c>
      <c r="J59" s="612">
        <f>'PB III - Orçamento Sintetico'!G305</f>
        <v>52705.58</v>
      </c>
      <c r="K59" s="606"/>
    </row>
    <row r="60" spans="1:11">
      <c r="A60" s="574"/>
      <c r="B60" s="595"/>
      <c r="C60" s="578" t="str">
        <f t="shared" ref="C60:D60" si="20">IF((C59*$J$26=0)," ",ROUND(C59*$J$26,2))</f>
        <v> </v>
      </c>
      <c r="D60" s="578" t="str">
        <f t="shared" si="20"/>
        <v> </v>
      </c>
      <c r="E60" s="601">
        <f t="shared" ref="E60:I60" si="21">IF((E59*$J$59=0)," ",ROUND(E59*$J$59,2))</f>
        <v>10541.12</v>
      </c>
      <c r="F60" s="601">
        <f t="shared" si="21"/>
        <v>10541.12</v>
      </c>
      <c r="G60" s="601">
        <f t="shared" si="21"/>
        <v>10541.12</v>
      </c>
      <c r="H60" s="601">
        <f t="shared" si="21"/>
        <v>10541.12</v>
      </c>
      <c r="I60" s="601">
        <f t="shared" si="21"/>
        <v>10541.12</v>
      </c>
      <c r="J60" s="613"/>
      <c r="K60" s="606"/>
    </row>
    <row r="61" ht="9.75" customHeight="1" spans="1:11">
      <c r="A61" s="574"/>
      <c r="B61" s="595"/>
      <c r="C61" s="588"/>
      <c r="D61" s="588"/>
      <c r="E61" s="603"/>
      <c r="F61" s="603"/>
      <c r="G61" s="603"/>
      <c r="H61" s="603"/>
      <c r="I61" s="603"/>
      <c r="J61" s="614"/>
      <c r="K61" s="606"/>
    </row>
    <row r="62" spans="1:11">
      <c r="A62" s="574">
        <v>19</v>
      </c>
      <c r="B62" s="595" t="s">
        <v>742</v>
      </c>
      <c r="C62" s="576"/>
      <c r="D62" s="576"/>
      <c r="E62" s="576"/>
      <c r="F62" s="576"/>
      <c r="G62" s="598">
        <v>0.4</v>
      </c>
      <c r="H62" s="598">
        <v>0.3</v>
      </c>
      <c r="I62" s="598">
        <v>0.3</v>
      </c>
      <c r="J62" s="612">
        <f>'PB III - Orçamento Sintetico'!G365</f>
        <v>4170.19</v>
      </c>
      <c r="K62" s="606"/>
    </row>
    <row r="63" spans="1:11">
      <c r="A63" s="574"/>
      <c r="B63" s="595"/>
      <c r="C63" s="578" t="str">
        <f t="shared" ref="C63:F63" si="22">IF((C62*$J$26=0)," ",ROUND(C62*$J$26,2))</f>
        <v> </v>
      </c>
      <c r="D63" s="578" t="str">
        <f t="shared" si="22"/>
        <v> </v>
      </c>
      <c r="E63" s="578" t="str">
        <f t="shared" si="22"/>
        <v> </v>
      </c>
      <c r="F63" s="578" t="str">
        <f t="shared" si="22"/>
        <v> </v>
      </c>
      <c r="G63" s="601">
        <f t="shared" ref="G63:I63" si="23">IF((G62*$J$62=0)," ",ROUND(G62*$J$62,2))</f>
        <v>1668.08</v>
      </c>
      <c r="H63" s="601">
        <f t="shared" si="23"/>
        <v>1251.06</v>
      </c>
      <c r="I63" s="601">
        <f t="shared" si="23"/>
        <v>1251.06</v>
      </c>
      <c r="J63" s="613"/>
      <c r="K63" s="606"/>
    </row>
    <row r="64" ht="10.5" customHeight="1" spans="1:11">
      <c r="A64" s="574"/>
      <c r="B64" s="595"/>
      <c r="C64" s="588"/>
      <c r="D64" s="588"/>
      <c r="E64" s="588"/>
      <c r="F64" s="588"/>
      <c r="G64" s="603"/>
      <c r="H64" s="603"/>
      <c r="I64" s="603"/>
      <c r="J64" s="614"/>
      <c r="K64" s="606"/>
    </row>
    <row r="65" spans="1:11">
      <c r="A65" s="574">
        <v>20</v>
      </c>
      <c r="B65" s="595" t="s">
        <v>662</v>
      </c>
      <c r="C65" s="576"/>
      <c r="D65" s="576"/>
      <c r="E65" s="576"/>
      <c r="F65" s="576"/>
      <c r="G65" s="576"/>
      <c r="H65" s="599">
        <v>0.5</v>
      </c>
      <c r="I65" s="599">
        <v>0.5</v>
      </c>
      <c r="J65" s="612">
        <f>'PB III - Orçamento Sintetico'!G390</f>
        <v>1326.64</v>
      </c>
      <c r="K65" s="606"/>
    </row>
    <row r="66" spans="1:11">
      <c r="A66" s="574"/>
      <c r="B66" s="595"/>
      <c r="C66" s="578" t="str">
        <f t="shared" ref="C66:G66" si="24">IF((C65*$J$26=0)," ",ROUND(C65*$J$26,2))</f>
        <v> </v>
      </c>
      <c r="D66" s="578" t="str">
        <f t="shared" si="24"/>
        <v> </v>
      </c>
      <c r="E66" s="578" t="str">
        <f t="shared" si="24"/>
        <v> </v>
      </c>
      <c r="F66" s="578" t="str">
        <f t="shared" si="24"/>
        <v> </v>
      </c>
      <c r="G66" s="578" t="str">
        <f t="shared" si="24"/>
        <v> </v>
      </c>
      <c r="H66" s="601">
        <f t="shared" ref="H66:I66" si="25">IF((H65*$J$65=0)," ",ROUND(H65*$J$65,2))</f>
        <v>663.32</v>
      </c>
      <c r="I66" s="601">
        <f t="shared" si="25"/>
        <v>663.32</v>
      </c>
      <c r="J66" s="613"/>
      <c r="K66" s="606"/>
    </row>
    <row r="67" ht="7.5" customHeight="1" spans="1:11">
      <c r="A67" s="574"/>
      <c r="B67" s="595"/>
      <c r="C67" s="588"/>
      <c r="D67" s="588"/>
      <c r="E67" s="588"/>
      <c r="F67" s="588"/>
      <c r="G67" s="588"/>
      <c r="H67" s="603"/>
      <c r="I67" s="603"/>
      <c r="J67" s="614"/>
      <c r="K67" s="606"/>
    </row>
    <row r="68" spans="1:11">
      <c r="A68" s="574">
        <v>21</v>
      </c>
      <c r="B68" s="595" t="s">
        <v>667</v>
      </c>
      <c r="C68" s="576"/>
      <c r="D68" s="576"/>
      <c r="E68" s="576"/>
      <c r="F68" s="576"/>
      <c r="G68" s="598">
        <v>0.3</v>
      </c>
      <c r="H68" s="598">
        <v>0.4</v>
      </c>
      <c r="I68" s="598">
        <v>0.3</v>
      </c>
      <c r="J68" s="612">
        <f>'PB III - Orçamento Sintetico'!G394</f>
        <v>27477.83</v>
      </c>
      <c r="K68" s="606"/>
    </row>
    <row r="69" spans="1:11">
      <c r="A69" s="574"/>
      <c r="B69" s="595"/>
      <c r="C69" s="578" t="str">
        <f t="shared" ref="C69:F69" si="26">IF((C68*$J$26=0)," ",ROUND(C68*$J$26,2))</f>
        <v> </v>
      </c>
      <c r="D69" s="578" t="str">
        <f t="shared" si="26"/>
        <v> </v>
      </c>
      <c r="E69" s="578" t="str">
        <f t="shared" si="26"/>
        <v> </v>
      </c>
      <c r="F69" s="578" t="str">
        <f t="shared" si="26"/>
        <v> </v>
      </c>
      <c r="G69" s="601">
        <f t="shared" ref="G69:I69" si="27">IF((G68*$J$68=0)," ",ROUND(G68*$J$68,2))</f>
        <v>8243.35</v>
      </c>
      <c r="H69" s="601">
        <f t="shared" si="27"/>
        <v>10991.13</v>
      </c>
      <c r="I69" s="601">
        <f t="shared" si="27"/>
        <v>8243.35</v>
      </c>
      <c r="J69" s="613"/>
      <c r="K69" s="606"/>
    </row>
    <row r="70" ht="11.25" customHeight="1" spans="1:11">
      <c r="A70" s="574"/>
      <c r="B70" s="595"/>
      <c r="C70" s="588"/>
      <c r="D70" s="588"/>
      <c r="E70" s="588"/>
      <c r="F70" s="588"/>
      <c r="G70" s="603"/>
      <c r="H70" s="603"/>
      <c r="I70" s="603"/>
      <c r="J70" s="614"/>
      <c r="K70" s="606"/>
    </row>
    <row r="71" spans="1:11">
      <c r="A71" s="574">
        <v>22</v>
      </c>
      <c r="B71" s="595" t="s">
        <v>743</v>
      </c>
      <c r="C71" s="576"/>
      <c r="D71" s="576"/>
      <c r="E71" s="576"/>
      <c r="F71" s="576"/>
      <c r="G71" s="598">
        <v>0.4</v>
      </c>
      <c r="H71" s="598">
        <v>0.6</v>
      </c>
      <c r="I71" s="576"/>
      <c r="J71" s="612">
        <f>'PB III - Orçamento Sintetico'!G401</f>
        <v>1468.34</v>
      </c>
      <c r="K71" s="606"/>
    </row>
    <row r="72" spans="1:11">
      <c r="A72" s="574"/>
      <c r="B72" s="595"/>
      <c r="C72" s="578" t="str">
        <f t="shared" ref="C72:F72" si="28">IF((C71*$J$26=0)," ",ROUND(C71*$J$26,2))</f>
        <v> </v>
      </c>
      <c r="D72" s="578" t="str">
        <f t="shared" si="28"/>
        <v> </v>
      </c>
      <c r="E72" s="578" t="str">
        <f t="shared" si="28"/>
        <v> </v>
      </c>
      <c r="F72" s="578" t="str">
        <f t="shared" si="28"/>
        <v> </v>
      </c>
      <c r="G72" s="601">
        <f t="shared" ref="G72:H72" si="29">IF((G71*$J$71=0)," ",ROUND(G71*$J$71,2))</f>
        <v>587.34</v>
      </c>
      <c r="H72" s="601">
        <f t="shared" si="29"/>
        <v>881</v>
      </c>
      <c r="I72" s="578" t="str">
        <f t="shared" ref="I72" si="30">IF((I71*$J$26=0)," ",ROUND(I71*$J$26,2))</f>
        <v> </v>
      </c>
      <c r="J72" s="613"/>
      <c r="K72" s="606"/>
    </row>
    <row r="73" ht="9" customHeight="1" spans="1:11">
      <c r="A73" s="574"/>
      <c r="B73" s="595"/>
      <c r="C73" s="588"/>
      <c r="D73" s="588"/>
      <c r="E73" s="588"/>
      <c r="F73" s="588"/>
      <c r="G73" s="603"/>
      <c r="H73" s="603"/>
      <c r="I73" s="588"/>
      <c r="J73" s="614"/>
      <c r="K73" s="606"/>
    </row>
    <row r="74" spans="1:11">
      <c r="A74" s="574">
        <v>23</v>
      </c>
      <c r="B74" s="595" t="s">
        <v>693</v>
      </c>
      <c r="C74" s="576"/>
      <c r="D74" s="576"/>
      <c r="E74" s="576"/>
      <c r="F74" s="576"/>
      <c r="G74" s="576"/>
      <c r="H74" s="576"/>
      <c r="I74" s="598">
        <v>1</v>
      </c>
      <c r="J74" s="612">
        <f>'PB III - Orçamento Sintetico'!G409</f>
        <v>18067.62</v>
      </c>
      <c r="K74" s="606"/>
    </row>
    <row r="75" spans="1:11">
      <c r="A75" s="574"/>
      <c r="B75" s="595"/>
      <c r="C75" s="578" t="str">
        <f t="shared" ref="C75:H75" si="31">IF((C74*$J$26=0)," ",ROUND(C74*$J$26,2))</f>
        <v> </v>
      </c>
      <c r="D75" s="578" t="str">
        <f t="shared" si="31"/>
        <v> </v>
      </c>
      <c r="E75" s="578" t="str">
        <f t="shared" si="31"/>
        <v> </v>
      </c>
      <c r="F75" s="578" t="str">
        <f t="shared" si="31"/>
        <v> </v>
      </c>
      <c r="G75" s="578" t="str">
        <f t="shared" si="31"/>
        <v> </v>
      </c>
      <c r="H75" s="578" t="str">
        <f t="shared" si="31"/>
        <v> </v>
      </c>
      <c r="I75" s="601">
        <f t="shared" ref="I75" si="32">IF((I74*$J$74=0)," ",ROUND(I74*$J$74,2))</f>
        <v>18067.62</v>
      </c>
      <c r="J75" s="613"/>
      <c r="K75" s="606"/>
    </row>
    <row r="76" ht="12" customHeight="1" spans="1:11">
      <c r="A76" s="574"/>
      <c r="B76" s="595"/>
      <c r="C76" s="588"/>
      <c r="D76" s="588"/>
      <c r="E76" s="588"/>
      <c r="F76" s="588"/>
      <c r="G76" s="588"/>
      <c r="H76" s="588"/>
      <c r="I76" s="603"/>
      <c r="J76" s="614"/>
      <c r="K76" s="606"/>
    </row>
    <row r="77" spans="1:11">
      <c r="A77" s="574">
        <v>24</v>
      </c>
      <c r="B77" s="595" t="s">
        <v>744</v>
      </c>
      <c r="C77" s="576"/>
      <c r="D77" s="576"/>
      <c r="E77" s="576"/>
      <c r="F77" s="576"/>
      <c r="G77" s="576"/>
      <c r="H77" s="576"/>
      <c r="I77" s="598">
        <v>1</v>
      </c>
      <c r="J77" s="612">
        <f>'PB III - Orçamento Sintetico'!G428</f>
        <v>62537</v>
      </c>
      <c r="K77" s="606"/>
    </row>
    <row r="78" spans="1:11">
      <c r="A78" s="574"/>
      <c r="B78" s="595"/>
      <c r="C78" s="578" t="str">
        <f t="shared" ref="C78:H78" si="33">IF((C77*$J$26=0)," ",ROUND(C77*$J$26,2))</f>
        <v> </v>
      </c>
      <c r="D78" s="578" t="str">
        <f t="shared" si="33"/>
        <v> </v>
      </c>
      <c r="E78" s="578" t="str">
        <f t="shared" si="33"/>
        <v> </v>
      </c>
      <c r="F78" s="578" t="str">
        <f t="shared" si="33"/>
        <v> </v>
      </c>
      <c r="G78" s="578" t="str">
        <f t="shared" si="33"/>
        <v> </v>
      </c>
      <c r="H78" s="578" t="str">
        <f t="shared" si="33"/>
        <v> </v>
      </c>
      <c r="I78" s="601">
        <f>IF((I77*$J$77=0)," ",ROUND(I77*$J$77,2))</f>
        <v>62537</v>
      </c>
      <c r="J78" s="613"/>
      <c r="K78" s="606"/>
    </row>
    <row r="79" spans="1:11">
      <c r="A79" s="574"/>
      <c r="B79" s="595"/>
      <c r="C79" s="588"/>
      <c r="D79" s="588"/>
      <c r="E79" s="588"/>
      <c r="F79" s="588"/>
      <c r="G79" s="588"/>
      <c r="H79" s="588"/>
      <c r="I79" s="603"/>
      <c r="J79" s="614"/>
      <c r="K79" s="606"/>
    </row>
    <row r="80" spans="1:11">
      <c r="A80" s="574">
        <v>25</v>
      </c>
      <c r="B80" s="604" t="s">
        <v>745</v>
      </c>
      <c r="C80" s="598">
        <v>0.0575</v>
      </c>
      <c r="D80" s="598">
        <v>0.0945</v>
      </c>
      <c r="E80" s="598">
        <v>0.1628</v>
      </c>
      <c r="F80" s="598">
        <v>0.1974</v>
      </c>
      <c r="G80" s="598">
        <v>0.1855</v>
      </c>
      <c r="H80" s="598">
        <v>0.0989</v>
      </c>
      <c r="I80" s="598">
        <v>0.2034</v>
      </c>
      <c r="J80" s="612">
        <f>'PB III - Orçamento Sintetico'!G420</f>
        <v>94869.33</v>
      </c>
      <c r="K80" s="606"/>
    </row>
    <row r="81" spans="1:11">
      <c r="A81" s="574"/>
      <c r="B81" s="604"/>
      <c r="C81" s="601">
        <f>IF((C80*$J$80=0)," ",ROUND(C80*$J$80,2))</f>
        <v>5454.99</v>
      </c>
      <c r="D81" s="601">
        <f t="shared" ref="D81:I81" si="34">IF((D80*$J$80=0)," ",ROUND(D80*$J$80,2))</f>
        <v>8965.15</v>
      </c>
      <c r="E81" s="601">
        <f t="shared" si="34"/>
        <v>15444.73</v>
      </c>
      <c r="F81" s="601">
        <f t="shared" si="34"/>
        <v>18727.21</v>
      </c>
      <c r="G81" s="601">
        <f t="shared" si="34"/>
        <v>17598.26</v>
      </c>
      <c r="H81" s="601">
        <f t="shared" si="34"/>
        <v>9382.58</v>
      </c>
      <c r="I81" s="601">
        <f t="shared" si="34"/>
        <v>19296.42</v>
      </c>
      <c r="J81" s="613"/>
      <c r="K81" s="606"/>
    </row>
    <row r="82" ht="9.75" customHeight="1" spans="1:11">
      <c r="A82" s="574"/>
      <c r="B82" s="604"/>
      <c r="C82" s="603"/>
      <c r="D82" s="603"/>
      <c r="E82" s="603"/>
      <c r="F82" s="603"/>
      <c r="G82" s="603"/>
      <c r="H82" s="603"/>
      <c r="I82" s="603"/>
      <c r="J82" s="614"/>
      <c r="K82" s="606"/>
    </row>
    <row r="83" spans="1:11">
      <c r="A83" s="619" t="s">
        <v>746</v>
      </c>
      <c r="B83" s="619"/>
      <c r="C83" s="620">
        <f>ROUND(SUM(C9,C12,C15,C18,C21,C24,C27,C30,C33,C36,C39,C42,C45,C48,C51,C54,C57,C60,C63,C66,C69,C72,C75,C78,C81)/$J$83,4)</f>
        <v>0.0575</v>
      </c>
      <c r="D83" s="620">
        <f t="shared" ref="D83:I83" si="35">ROUND(SUM(D9,D12,D15,D18,D21,D24,D27,D30,D33,D36,D39,D42,D45,D48,D51,D54,D57,D60,D63,D66,D69,D72,D75,D78,D81)/$J$83,4)</f>
        <v>0.0945</v>
      </c>
      <c r="E83" s="620">
        <f t="shared" si="35"/>
        <v>0.1628</v>
      </c>
      <c r="F83" s="620">
        <f t="shared" si="35"/>
        <v>0.1974</v>
      </c>
      <c r="G83" s="620">
        <f t="shared" si="35"/>
        <v>0.1855</v>
      </c>
      <c r="H83" s="620">
        <f t="shared" si="35"/>
        <v>0.0989</v>
      </c>
      <c r="I83" s="620">
        <f t="shared" si="35"/>
        <v>0.2034</v>
      </c>
      <c r="J83" s="612">
        <f>SUM(J8:J81)</f>
        <v>776534.8</v>
      </c>
      <c r="K83" s="606"/>
    </row>
    <row r="84" spans="1:11">
      <c r="A84" s="619" t="s">
        <v>747</v>
      </c>
      <c r="B84" s="619"/>
      <c r="C84" s="620">
        <f>C83</f>
        <v>0.0575</v>
      </c>
      <c r="D84" s="620">
        <f>D83+C84</f>
        <v>0.152</v>
      </c>
      <c r="E84" s="620">
        <f>E83+D84</f>
        <v>0.3148</v>
      </c>
      <c r="F84" s="620">
        <f t="shared" ref="F84:H84" si="36">F83+E84</f>
        <v>0.5122</v>
      </c>
      <c r="G84" s="620">
        <f t="shared" si="36"/>
        <v>0.6977</v>
      </c>
      <c r="H84" s="620">
        <f t="shared" si="36"/>
        <v>0.7966</v>
      </c>
      <c r="I84" s="620">
        <f>I83+H84+0.00001</f>
        <v>1.00001</v>
      </c>
      <c r="J84" s="613"/>
      <c r="K84" s="606"/>
    </row>
    <row r="85" spans="1:11">
      <c r="A85" s="619" t="s">
        <v>748</v>
      </c>
      <c r="B85" s="619"/>
      <c r="C85" s="621">
        <f>ROUND(C83*$J$83,2)</f>
        <v>44650.75</v>
      </c>
      <c r="D85" s="621">
        <f t="shared" ref="D85:I85" si="37">ROUND(D83*$J$83,2)</f>
        <v>73382.54</v>
      </c>
      <c r="E85" s="621">
        <f t="shared" si="37"/>
        <v>126419.87</v>
      </c>
      <c r="F85" s="621">
        <f t="shared" si="37"/>
        <v>153287.97</v>
      </c>
      <c r="G85" s="621">
        <f t="shared" si="37"/>
        <v>144047.21</v>
      </c>
      <c r="H85" s="621">
        <f t="shared" si="37"/>
        <v>76799.29</v>
      </c>
      <c r="I85" s="621">
        <f t="shared" si="37"/>
        <v>157947.18</v>
      </c>
      <c r="J85" s="613"/>
      <c r="K85" s="606"/>
    </row>
    <row r="86" spans="1:11">
      <c r="A86" s="619" t="s">
        <v>749</v>
      </c>
      <c r="B86" s="619"/>
      <c r="C86" s="621">
        <f>C85</f>
        <v>44650.75</v>
      </c>
      <c r="D86" s="621">
        <f>C86+D85</f>
        <v>118033.29</v>
      </c>
      <c r="E86" s="621">
        <f>D86+E85</f>
        <v>244453.16</v>
      </c>
      <c r="F86" s="621">
        <f t="shared" ref="F86:H86" si="38">E86+F85</f>
        <v>397741.13</v>
      </c>
      <c r="G86" s="621">
        <f t="shared" si="38"/>
        <v>541788.34</v>
      </c>
      <c r="H86" s="621">
        <f t="shared" si="38"/>
        <v>618587.63</v>
      </c>
      <c r="I86" s="621">
        <f>H86+I85-0.01</f>
        <v>776534.8</v>
      </c>
      <c r="J86" s="614"/>
      <c r="K86" s="606"/>
    </row>
    <row r="87" spans="1:11">
      <c r="A87" s="622"/>
      <c r="B87" s="622"/>
      <c r="C87" s="622"/>
      <c r="D87" s="622"/>
      <c r="E87" s="622"/>
      <c r="F87" s="622"/>
      <c r="G87" s="622"/>
      <c r="H87" s="622"/>
      <c r="I87" s="622"/>
      <c r="J87" s="622"/>
      <c r="K87" s="606"/>
    </row>
    <row r="88" spans="1:11">
      <c r="A88" s="595" t="s">
        <v>750</v>
      </c>
      <c r="B88" s="595"/>
      <c r="C88" s="595"/>
      <c r="D88" s="595"/>
      <c r="E88" s="595"/>
      <c r="F88" s="595"/>
      <c r="G88" s="595"/>
      <c r="H88" s="595"/>
      <c r="I88" s="595"/>
      <c r="J88" s="595"/>
      <c r="K88" s="606"/>
    </row>
    <row r="89" spans="1:11">
      <c r="A89" s="623" t="s">
        <v>751</v>
      </c>
      <c r="B89" s="623"/>
      <c r="C89" s="623"/>
      <c r="D89" s="623"/>
      <c r="E89" s="623"/>
      <c r="F89" s="623"/>
      <c r="G89" s="623"/>
      <c r="H89" s="623"/>
      <c r="I89" s="623"/>
      <c r="J89" s="623"/>
      <c r="K89" s="606"/>
    </row>
  </sheetData>
  <mergeCells count="85">
    <mergeCell ref="A1:J1"/>
    <mergeCell ref="A3:J3"/>
    <mergeCell ref="A83:B83"/>
    <mergeCell ref="A84:B84"/>
    <mergeCell ref="A85:B85"/>
    <mergeCell ref="A86:B86"/>
    <mergeCell ref="A87:J87"/>
    <mergeCell ref="A88:J88"/>
    <mergeCell ref="A89:J89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J38:J40"/>
    <mergeCell ref="J41:J43"/>
    <mergeCell ref="J44:J46"/>
    <mergeCell ref="J47:J49"/>
    <mergeCell ref="J50:J52"/>
    <mergeCell ref="J53:J55"/>
    <mergeCell ref="J56:J58"/>
    <mergeCell ref="J59:J61"/>
    <mergeCell ref="J62:J64"/>
    <mergeCell ref="J65:J67"/>
    <mergeCell ref="J68:J70"/>
    <mergeCell ref="J71:J73"/>
    <mergeCell ref="J74:J76"/>
    <mergeCell ref="J77:J79"/>
    <mergeCell ref="J80:J82"/>
    <mergeCell ref="J83:J86"/>
  </mergeCells>
  <printOptions horizontalCentered="1"/>
  <pageMargins left="0.196527777777778" right="0.196527777777778" top="1.41666666666667" bottom="0.393055555555556" header="0" footer="0"/>
  <pageSetup paperSize="9" scale="94" orientation="portrait"/>
  <headerFooter>
    <oddHeader>&amp;C&amp;9
&amp;G
DEFENSORIA PÚBLICA DO ESTADO DE RORAIMA
“Amazônia: Patrimônio dos brasileiros”
____________________________________________________________________________________________________</oddHeader>
    <oddFooter>&amp;C&amp;"Arial,Normal"&amp;9Página &amp;P de &amp;N</oddFooter>
  </headerFooter>
  <legacyDrawingHF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M311"/>
  <sheetViews>
    <sheetView view="pageBreakPreview" zoomScale="85" zoomScaleNormal="100" zoomScaleSheetLayoutView="85" topLeftCell="A227" workbookViewId="0">
      <selection activeCell="D12" sqref="D12"/>
    </sheetView>
  </sheetViews>
  <sheetFormatPr defaultColWidth="9" defaultRowHeight="15"/>
  <cols>
    <col min="1" max="1" width="10.2857142857143" customWidth="1"/>
    <col min="2" max="2" width="45.2857142857143" customWidth="1"/>
    <col min="3" max="3" width="5" customWidth="1"/>
    <col min="4" max="4" width="7.28571428571429" customWidth="1"/>
    <col min="5" max="5" width="9.28571428571429" customWidth="1"/>
    <col min="6" max="6" width="9.57142857142857" customWidth="1"/>
    <col min="7" max="7" width="7.28571428571429" customWidth="1"/>
    <col min="8" max="8" width="12" customWidth="1"/>
    <col min="9" max="9" width="3.28571428571429" customWidth="1"/>
    <col min="12" max="13" width="9.57142857142857" customWidth="1"/>
  </cols>
  <sheetData>
    <row r="1" spans="1:9">
      <c r="A1" s="519" t="s">
        <v>752</v>
      </c>
      <c r="B1" s="519"/>
      <c r="C1" s="519"/>
      <c r="D1" s="519"/>
      <c r="E1" s="519"/>
      <c r="F1" s="519"/>
      <c r="G1" s="519"/>
      <c r="H1" s="519"/>
      <c r="I1" s="519"/>
    </row>
    <row r="2" spans="1:9">
      <c r="A2" s="520"/>
      <c r="B2" s="521"/>
      <c r="C2" s="520"/>
      <c r="D2" s="520"/>
      <c r="E2" s="520"/>
      <c r="F2" s="520"/>
      <c r="G2" s="276"/>
      <c r="H2" s="276"/>
      <c r="I2" s="276"/>
    </row>
    <row r="3" ht="24" customHeight="1" spans="1:9">
      <c r="A3" s="522" t="str">
        <f>'PB III - Orçamento Sintetico'!A4:G4</f>
        <v>OBRA: CONSTRUÇÃO DA SEDE DA DEFENSORIA PÚBLICA DO ESTADO DE RORAIMA NO MUNICIPIO DO BONFIM - DPE/RR</v>
      </c>
      <c r="B3" s="523"/>
      <c r="C3" s="523"/>
      <c r="D3" s="523"/>
      <c r="E3" s="523"/>
      <c r="F3" s="523"/>
      <c r="G3" s="523"/>
      <c r="H3" s="523"/>
      <c r="I3" s="549"/>
    </row>
    <row r="4" spans="1:9">
      <c r="A4" s="524"/>
      <c r="B4" s="525"/>
      <c r="C4" s="524"/>
      <c r="D4" s="524"/>
      <c r="E4" s="526"/>
      <c r="F4" s="524"/>
      <c r="G4" s="276"/>
      <c r="H4" s="276"/>
      <c r="I4" s="276"/>
    </row>
    <row r="5" spans="1:9">
      <c r="A5" s="527" t="s">
        <v>5</v>
      </c>
      <c r="B5" s="528" t="s">
        <v>6</v>
      </c>
      <c r="C5" s="527" t="s">
        <v>7</v>
      </c>
      <c r="D5" s="529" t="s">
        <v>8</v>
      </c>
      <c r="E5" s="529" t="s">
        <v>753</v>
      </c>
      <c r="F5" s="529"/>
      <c r="G5" s="530" t="s">
        <v>754</v>
      </c>
      <c r="H5" s="530" t="s">
        <v>755</v>
      </c>
      <c r="I5" s="550"/>
    </row>
    <row r="6" ht="23.25" customHeight="1" spans="1:9">
      <c r="A6" s="527"/>
      <c r="B6" s="528"/>
      <c r="C6" s="527"/>
      <c r="D6" s="529"/>
      <c r="E6" s="529" t="s">
        <v>9</v>
      </c>
      <c r="F6" s="529" t="s">
        <v>10</v>
      </c>
      <c r="G6" s="531"/>
      <c r="H6" s="531"/>
      <c r="I6" s="550"/>
    </row>
    <row r="7" spans="1:13">
      <c r="A7" s="532"/>
      <c r="B7" s="533"/>
      <c r="C7" s="532"/>
      <c r="D7" s="533"/>
      <c r="E7" s="533"/>
      <c r="F7" s="533"/>
      <c r="G7" s="533"/>
      <c r="H7" s="533"/>
      <c r="I7" s="550"/>
      <c r="L7" s="551">
        <f>SUM($F$8:$F$310)</f>
        <v>776534.77</v>
      </c>
      <c r="M7" s="551">
        <v>777431.12</v>
      </c>
    </row>
    <row r="8" ht="30" spans="1:13">
      <c r="A8" s="534" t="s">
        <v>756</v>
      </c>
      <c r="B8" s="535" t="s">
        <v>716</v>
      </c>
      <c r="C8" s="536" t="s">
        <v>20</v>
      </c>
      <c r="D8" s="537">
        <v>1</v>
      </c>
      <c r="E8" s="538">
        <v>77785.48</v>
      </c>
      <c r="F8" s="538">
        <f t="shared" ref="F8:F71" si="0">ROUND(D8*E8,2)</f>
        <v>77785.48</v>
      </c>
      <c r="G8" s="539">
        <f>F8/$L$7</f>
        <v>0.100169989812562</v>
      </c>
      <c r="H8" s="540">
        <f>G8</f>
        <v>0.100169989812562</v>
      </c>
      <c r="I8" s="552" t="s">
        <v>757</v>
      </c>
      <c r="L8" s="551">
        <f t="shared" ref="L8:L71" si="1">SUM($F$8:$F$310)</f>
        <v>776534.77</v>
      </c>
      <c r="M8" s="551">
        <v>777431.12</v>
      </c>
    </row>
    <row r="9" ht="90" spans="1:13">
      <c r="A9" s="541" t="s">
        <v>758</v>
      </c>
      <c r="B9" s="535" t="s">
        <v>759</v>
      </c>
      <c r="C9" s="536" t="s">
        <v>20</v>
      </c>
      <c r="D9" s="537">
        <v>1</v>
      </c>
      <c r="E9" s="538">
        <v>62537</v>
      </c>
      <c r="F9" s="538">
        <f t="shared" si="0"/>
        <v>62537</v>
      </c>
      <c r="G9" s="539">
        <f t="shared" ref="G9:G72" si="2">F9/$L$7</f>
        <v>0.0805334189993836</v>
      </c>
      <c r="H9" s="540">
        <f>H8+G9</f>
        <v>0.180703408811945</v>
      </c>
      <c r="I9" s="552"/>
      <c r="L9" s="551">
        <f t="shared" si="1"/>
        <v>776534.77</v>
      </c>
      <c r="M9" s="551">
        <v>777431.12</v>
      </c>
    </row>
    <row r="10" ht="60" spans="1:13">
      <c r="A10" s="541">
        <v>89168</v>
      </c>
      <c r="B10" s="535" t="s">
        <v>262</v>
      </c>
      <c r="C10" s="536" t="s">
        <v>17</v>
      </c>
      <c r="D10" s="537">
        <v>607.2025</v>
      </c>
      <c r="E10" s="538">
        <v>58.27</v>
      </c>
      <c r="F10" s="538">
        <f t="shared" si="0"/>
        <v>35381.69</v>
      </c>
      <c r="G10" s="539">
        <f t="shared" si="2"/>
        <v>0.0455635618222221</v>
      </c>
      <c r="H10" s="540">
        <f t="shared" ref="H10:H73" si="3">H9+G10</f>
        <v>0.226266970634167</v>
      </c>
      <c r="I10" s="552"/>
      <c r="L10" s="551">
        <f t="shared" si="1"/>
        <v>776534.77</v>
      </c>
      <c r="M10" s="551">
        <v>777431.12</v>
      </c>
    </row>
    <row r="11" spans="1:13">
      <c r="A11" s="541" t="s">
        <v>114</v>
      </c>
      <c r="B11" s="535" t="s">
        <v>141</v>
      </c>
      <c r="C11" s="536" t="s">
        <v>23</v>
      </c>
      <c r="D11" s="537">
        <v>86.9</v>
      </c>
      <c r="E11" s="538">
        <v>393.85</v>
      </c>
      <c r="F11" s="538">
        <f t="shared" si="0"/>
        <v>34225.57</v>
      </c>
      <c r="G11" s="539">
        <f t="shared" si="2"/>
        <v>0.0440747424613067</v>
      </c>
      <c r="H11" s="540">
        <f t="shared" si="3"/>
        <v>0.270341713095474</v>
      </c>
      <c r="I11" s="552"/>
      <c r="L11" s="551">
        <f t="shared" si="1"/>
        <v>776534.77</v>
      </c>
      <c r="M11" s="551">
        <v>777431.12</v>
      </c>
    </row>
    <row r="12" ht="60" spans="1:13">
      <c r="A12" s="541">
        <v>89173</v>
      </c>
      <c r="B12" s="535" t="s">
        <v>271</v>
      </c>
      <c r="C12" s="536" t="s">
        <v>17</v>
      </c>
      <c r="D12" s="537">
        <v>1310.11</v>
      </c>
      <c r="E12" s="538">
        <v>25.24</v>
      </c>
      <c r="F12" s="538">
        <f t="shared" si="0"/>
        <v>33067.18</v>
      </c>
      <c r="G12" s="539">
        <f t="shared" si="2"/>
        <v>0.0425829998571732</v>
      </c>
      <c r="H12" s="540">
        <f t="shared" si="3"/>
        <v>0.312924712952647</v>
      </c>
      <c r="I12" s="552"/>
      <c r="L12" s="551">
        <f t="shared" si="1"/>
        <v>776534.77</v>
      </c>
      <c r="M12" s="551">
        <v>777431.12</v>
      </c>
    </row>
    <row r="13" ht="60" spans="1:13">
      <c r="A13" s="534" t="s">
        <v>760</v>
      </c>
      <c r="B13" s="535" t="s">
        <v>335</v>
      </c>
      <c r="C13" s="536" t="s">
        <v>17</v>
      </c>
      <c r="D13" s="537">
        <v>225.28</v>
      </c>
      <c r="E13" s="538">
        <v>83.96</v>
      </c>
      <c r="F13" s="538">
        <f t="shared" si="0"/>
        <v>18914.51</v>
      </c>
      <c r="G13" s="539">
        <f t="shared" si="2"/>
        <v>0.0243575828549184</v>
      </c>
      <c r="H13" s="540">
        <f t="shared" si="3"/>
        <v>0.337282295807566</v>
      </c>
      <c r="I13" s="552"/>
      <c r="L13" s="551">
        <f t="shared" si="1"/>
        <v>776534.77</v>
      </c>
      <c r="M13" s="551">
        <v>777431.12</v>
      </c>
    </row>
    <row r="14" ht="45" spans="1:13">
      <c r="A14" s="541">
        <v>92393</v>
      </c>
      <c r="B14" s="535" t="s">
        <v>674</v>
      </c>
      <c r="C14" s="536" t="s">
        <v>17</v>
      </c>
      <c r="D14" s="537">
        <v>383.57</v>
      </c>
      <c r="E14" s="538">
        <v>46.56</v>
      </c>
      <c r="F14" s="538">
        <f t="shared" si="0"/>
        <v>17859.02</v>
      </c>
      <c r="G14" s="539">
        <f t="shared" si="2"/>
        <v>0.0229983520248552</v>
      </c>
      <c r="H14" s="540">
        <f t="shared" si="3"/>
        <v>0.360280647832421</v>
      </c>
      <c r="I14" s="552"/>
      <c r="L14" s="551">
        <f t="shared" si="1"/>
        <v>776534.77</v>
      </c>
      <c r="M14" s="551">
        <v>777431.12</v>
      </c>
    </row>
    <row r="15" ht="45" spans="1:13">
      <c r="A15" s="541">
        <v>87503</v>
      </c>
      <c r="B15" s="535" t="s">
        <v>88</v>
      </c>
      <c r="C15" s="536" t="s">
        <v>17</v>
      </c>
      <c r="D15" s="537">
        <v>339.55</v>
      </c>
      <c r="E15" s="538">
        <v>50.55</v>
      </c>
      <c r="F15" s="538">
        <f t="shared" si="0"/>
        <v>17164.25</v>
      </c>
      <c r="G15" s="539">
        <f t="shared" si="2"/>
        <v>0.0221036464342736</v>
      </c>
      <c r="H15" s="540">
        <f t="shared" si="3"/>
        <v>0.382384294266695</v>
      </c>
      <c r="I15" s="552"/>
      <c r="L15" s="551">
        <f t="shared" si="1"/>
        <v>776534.77</v>
      </c>
      <c r="M15" s="551">
        <v>777431.12</v>
      </c>
    </row>
    <row r="16" ht="30" spans="1:13">
      <c r="A16" s="534" t="s">
        <v>761</v>
      </c>
      <c r="B16" s="535" t="s">
        <v>714</v>
      </c>
      <c r="C16" s="536" t="s">
        <v>20</v>
      </c>
      <c r="D16" s="537">
        <v>1</v>
      </c>
      <c r="E16" s="538">
        <v>17083.85</v>
      </c>
      <c r="F16" s="538">
        <f t="shared" si="0"/>
        <v>17083.85</v>
      </c>
      <c r="G16" s="539">
        <f t="shared" si="2"/>
        <v>0.0220001095379155</v>
      </c>
      <c r="H16" s="540">
        <f t="shared" si="3"/>
        <v>0.40438440380461</v>
      </c>
      <c r="I16" s="552"/>
      <c r="L16" s="551">
        <f t="shared" si="1"/>
        <v>776534.77</v>
      </c>
      <c r="M16" s="551">
        <v>777431.12</v>
      </c>
    </row>
    <row r="17" ht="30" spans="1:13">
      <c r="A17" s="541" t="s">
        <v>249</v>
      </c>
      <c r="B17" s="535" t="s">
        <v>251</v>
      </c>
      <c r="C17" s="536" t="s">
        <v>17</v>
      </c>
      <c r="D17" s="537">
        <v>174.76</v>
      </c>
      <c r="E17" s="538">
        <v>88.55</v>
      </c>
      <c r="F17" s="538">
        <f t="shared" si="0"/>
        <v>15475</v>
      </c>
      <c r="G17" s="539">
        <f t="shared" si="2"/>
        <v>0.0199282770042609</v>
      </c>
      <c r="H17" s="540">
        <f t="shared" si="3"/>
        <v>0.424312680808871</v>
      </c>
      <c r="I17" s="552"/>
      <c r="L17" s="551">
        <f t="shared" si="1"/>
        <v>776534.77</v>
      </c>
      <c r="M17" s="551">
        <v>777431.12</v>
      </c>
    </row>
    <row r="18" ht="30" spans="1:13">
      <c r="A18" s="534" t="s">
        <v>762</v>
      </c>
      <c r="B18" s="535" t="s">
        <v>507</v>
      </c>
      <c r="C18" s="536" t="s">
        <v>20</v>
      </c>
      <c r="D18" s="537">
        <v>63</v>
      </c>
      <c r="E18" s="538">
        <v>233.52</v>
      </c>
      <c r="F18" s="538">
        <f t="shared" si="0"/>
        <v>14711.76</v>
      </c>
      <c r="G18" s="539">
        <f t="shared" si="2"/>
        <v>0.0189453976413703</v>
      </c>
      <c r="H18" s="540">
        <f t="shared" si="3"/>
        <v>0.443258078450241</v>
      </c>
      <c r="I18" s="552"/>
      <c r="L18" s="551">
        <f t="shared" si="1"/>
        <v>776534.77</v>
      </c>
      <c r="M18" s="551">
        <v>777431.12</v>
      </c>
    </row>
    <row r="19" spans="1:13">
      <c r="A19" s="541" t="s">
        <v>64</v>
      </c>
      <c r="B19" s="535" t="s">
        <v>118</v>
      </c>
      <c r="C19" s="536" t="s">
        <v>23</v>
      </c>
      <c r="D19" s="537">
        <v>100.42</v>
      </c>
      <c r="E19" s="538">
        <v>143.94</v>
      </c>
      <c r="F19" s="538">
        <f t="shared" si="0"/>
        <v>14454.45</v>
      </c>
      <c r="G19" s="539">
        <f t="shared" si="2"/>
        <v>0.0186140409398539</v>
      </c>
      <c r="H19" s="540">
        <f t="shared" si="3"/>
        <v>0.461872119390095</v>
      </c>
      <c r="I19" s="552"/>
      <c r="L19" s="551">
        <f t="shared" si="1"/>
        <v>776534.77</v>
      </c>
      <c r="M19" s="551">
        <v>777431.12</v>
      </c>
    </row>
    <row r="20" ht="45" spans="1:13">
      <c r="A20" s="541" t="s">
        <v>103</v>
      </c>
      <c r="B20" s="535" t="s">
        <v>105</v>
      </c>
      <c r="C20" s="536" t="s">
        <v>17</v>
      </c>
      <c r="D20" s="537">
        <v>1453.29</v>
      </c>
      <c r="E20" s="538">
        <v>9.17</v>
      </c>
      <c r="F20" s="538">
        <f t="shared" si="0"/>
        <v>13326.67</v>
      </c>
      <c r="G20" s="539">
        <f t="shared" si="2"/>
        <v>0.0171617170471324</v>
      </c>
      <c r="H20" s="540">
        <f t="shared" si="3"/>
        <v>0.479033836437227</v>
      </c>
      <c r="I20" s="552"/>
      <c r="L20" s="551">
        <f t="shared" si="1"/>
        <v>776534.77</v>
      </c>
      <c r="M20" s="551">
        <v>777431.12</v>
      </c>
    </row>
    <row r="21" spans="1:13">
      <c r="A21" s="541" t="s">
        <v>180</v>
      </c>
      <c r="B21" s="535" t="s">
        <v>172</v>
      </c>
      <c r="C21" s="536" t="s">
        <v>17</v>
      </c>
      <c r="D21" s="537">
        <v>178.82</v>
      </c>
      <c r="E21" s="538">
        <v>73.63</v>
      </c>
      <c r="F21" s="538">
        <f t="shared" si="0"/>
        <v>13166.52</v>
      </c>
      <c r="G21" s="539">
        <f t="shared" si="2"/>
        <v>0.0169554803064388</v>
      </c>
      <c r="H21" s="540">
        <f t="shared" si="3"/>
        <v>0.495989316743666</v>
      </c>
      <c r="I21" s="552"/>
      <c r="L21" s="551">
        <f t="shared" si="1"/>
        <v>776534.77</v>
      </c>
      <c r="M21" s="551">
        <v>777431.12</v>
      </c>
    </row>
    <row r="22" spans="1:13">
      <c r="A22" s="541" t="s">
        <v>119</v>
      </c>
      <c r="B22" s="535" t="s">
        <v>144</v>
      </c>
      <c r="C22" s="536" t="s">
        <v>17</v>
      </c>
      <c r="D22" s="537">
        <v>420.19</v>
      </c>
      <c r="E22" s="538">
        <v>29.91</v>
      </c>
      <c r="F22" s="538">
        <f t="shared" si="0"/>
        <v>12567.88</v>
      </c>
      <c r="G22" s="539">
        <f t="shared" si="2"/>
        <v>0.016184568271167</v>
      </c>
      <c r="H22" s="540">
        <f t="shared" si="3"/>
        <v>0.512173885014833</v>
      </c>
      <c r="I22" s="552"/>
      <c r="L22" s="551">
        <f t="shared" si="1"/>
        <v>776534.77</v>
      </c>
      <c r="M22" s="551">
        <v>777431.12</v>
      </c>
    </row>
    <row r="23" spans="1:13">
      <c r="A23" s="541" t="s">
        <v>170</v>
      </c>
      <c r="B23" s="535" t="s">
        <v>172</v>
      </c>
      <c r="C23" s="536" t="s">
        <v>17</v>
      </c>
      <c r="D23" s="537">
        <v>282.3</v>
      </c>
      <c r="E23" s="538">
        <v>43.1</v>
      </c>
      <c r="F23" s="538">
        <f t="shared" si="0"/>
        <v>12167.13</v>
      </c>
      <c r="G23" s="539">
        <f t="shared" si="2"/>
        <v>0.0156684935048047</v>
      </c>
      <c r="H23" s="540">
        <f t="shared" si="3"/>
        <v>0.527842378519638</v>
      </c>
      <c r="I23" s="552"/>
      <c r="L23" s="551">
        <f t="shared" si="1"/>
        <v>776534.77</v>
      </c>
      <c r="M23" s="551">
        <v>777431.12</v>
      </c>
    </row>
    <row r="24" spans="1:13">
      <c r="A24" s="541">
        <v>94213</v>
      </c>
      <c r="B24" s="535" t="s">
        <v>340</v>
      </c>
      <c r="C24" s="536" t="s">
        <v>17</v>
      </c>
      <c r="D24" s="537">
        <v>287.32</v>
      </c>
      <c r="E24" s="538">
        <v>38.2</v>
      </c>
      <c r="F24" s="538">
        <f t="shared" si="0"/>
        <v>10975.62</v>
      </c>
      <c r="G24" s="539">
        <f t="shared" si="2"/>
        <v>0.0141340998806789</v>
      </c>
      <c r="H24" s="540">
        <f t="shared" si="3"/>
        <v>0.541976478400317</v>
      </c>
      <c r="I24" s="552"/>
      <c r="L24" s="551">
        <f t="shared" si="1"/>
        <v>776534.77</v>
      </c>
      <c r="M24" s="551">
        <v>777431.12</v>
      </c>
    </row>
    <row r="25" ht="30" spans="1:13">
      <c r="A25" s="541">
        <v>88497</v>
      </c>
      <c r="B25" s="535" t="s">
        <v>279</v>
      </c>
      <c r="C25" s="536" t="s">
        <v>17</v>
      </c>
      <c r="D25" s="537">
        <v>1147.392</v>
      </c>
      <c r="E25" s="538">
        <v>9.47</v>
      </c>
      <c r="F25" s="538">
        <f t="shared" si="0"/>
        <v>10865.8</v>
      </c>
      <c r="G25" s="539">
        <f t="shared" si="2"/>
        <v>0.0139926767219966</v>
      </c>
      <c r="H25" s="540">
        <f t="shared" si="3"/>
        <v>0.555969155122314</v>
      </c>
      <c r="I25" s="552"/>
      <c r="L25" s="551">
        <f t="shared" si="1"/>
        <v>776534.77</v>
      </c>
      <c r="M25" s="551">
        <v>777431.12</v>
      </c>
    </row>
    <row r="26" ht="60" spans="1:13">
      <c r="A26" s="534" t="s">
        <v>763</v>
      </c>
      <c r="B26" s="535" t="s">
        <v>515</v>
      </c>
      <c r="C26" s="536" t="s">
        <v>20</v>
      </c>
      <c r="D26" s="537">
        <v>6</v>
      </c>
      <c r="E26" s="538">
        <v>1802.3</v>
      </c>
      <c r="F26" s="538">
        <f t="shared" si="0"/>
        <v>10813.8</v>
      </c>
      <c r="G26" s="539">
        <f t="shared" si="2"/>
        <v>0.0139257125601729</v>
      </c>
      <c r="H26" s="540">
        <f t="shared" si="3"/>
        <v>0.569894867682487</v>
      </c>
      <c r="I26" s="552"/>
      <c r="L26" s="551">
        <f t="shared" si="1"/>
        <v>776534.77</v>
      </c>
      <c r="M26" s="551">
        <v>777431.12</v>
      </c>
    </row>
    <row r="27" ht="45" spans="1:13">
      <c r="A27" s="541" t="s">
        <v>237</v>
      </c>
      <c r="B27" s="535" t="s">
        <v>764</v>
      </c>
      <c r="C27" s="536" t="s">
        <v>23</v>
      </c>
      <c r="D27" s="537">
        <v>19.0264</v>
      </c>
      <c r="E27" s="538">
        <v>522.23</v>
      </c>
      <c r="F27" s="538">
        <f t="shared" si="0"/>
        <v>9936.16</v>
      </c>
      <c r="G27" s="539">
        <f t="shared" si="2"/>
        <v>0.0127955120412702</v>
      </c>
      <c r="H27" s="540">
        <f t="shared" si="3"/>
        <v>0.582690379723757</v>
      </c>
      <c r="I27" s="552"/>
      <c r="L27" s="551">
        <f t="shared" si="1"/>
        <v>776534.77</v>
      </c>
      <c r="M27" s="551">
        <v>777431.12</v>
      </c>
    </row>
    <row r="28" spans="1:13">
      <c r="A28" s="541" t="s">
        <v>148</v>
      </c>
      <c r="B28" s="535" t="s">
        <v>126</v>
      </c>
      <c r="C28" s="536" t="s">
        <v>69</v>
      </c>
      <c r="D28" s="537">
        <v>870.72</v>
      </c>
      <c r="E28" s="538">
        <v>11.16</v>
      </c>
      <c r="F28" s="538">
        <f t="shared" si="0"/>
        <v>9717.24</v>
      </c>
      <c r="G28" s="539">
        <f t="shared" si="2"/>
        <v>0.0125135929199925</v>
      </c>
      <c r="H28" s="540">
        <f t="shared" si="3"/>
        <v>0.595203972643749</v>
      </c>
      <c r="I28" s="552"/>
      <c r="L28" s="551">
        <f t="shared" si="1"/>
        <v>776534.77</v>
      </c>
      <c r="M28" s="551">
        <v>777431.12</v>
      </c>
    </row>
    <row r="29" spans="1:13">
      <c r="A29" s="541" t="s">
        <v>160</v>
      </c>
      <c r="B29" s="535" t="s">
        <v>162</v>
      </c>
      <c r="C29" s="536" t="s">
        <v>69</v>
      </c>
      <c r="D29" s="537">
        <v>727.28</v>
      </c>
      <c r="E29" s="538">
        <v>13.31</v>
      </c>
      <c r="F29" s="538">
        <f t="shared" si="0"/>
        <v>9680.1</v>
      </c>
      <c r="G29" s="539">
        <f t="shared" si="2"/>
        <v>0.0124657650551823</v>
      </c>
      <c r="H29" s="540">
        <f t="shared" si="3"/>
        <v>0.607669737698932</v>
      </c>
      <c r="I29" s="552"/>
      <c r="L29" s="551">
        <f t="shared" si="1"/>
        <v>776534.77</v>
      </c>
      <c r="M29" s="551">
        <v>777431.12</v>
      </c>
    </row>
    <row r="30" ht="45" spans="1:13">
      <c r="A30" s="541" t="s">
        <v>240</v>
      </c>
      <c r="B30" s="535" t="s">
        <v>242</v>
      </c>
      <c r="C30" s="536" t="s">
        <v>17</v>
      </c>
      <c r="D30" s="537">
        <v>237.77</v>
      </c>
      <c r="E30" s="538">
        <v>39.1</v>
      </c>
      <c r="F30" s="538">
        <f t="shared" si="0"/>
        <v>9296.81</v>
      </c>
      <c r="G30" s="539">
        <f t="shared" si="2"/>
        <v>0.0119721747939246</v>
      </c>
      <c r="H30" s="540">
        <f t="shared" si="3"/>
        <v>0.619641912492856</v>
      </c>
      <c r="I30" s="552"/>
      <c r="L30" s="551">
        <f t="shared" si="1"/>
        <v>776534.77</v>
      </c>
      <c r="M30" s="551">
        <v>777431.12</v>
      </c>
    </row>
    <row r="31" spans="1:13">
      <c r="A31" s="541">
        <v>94582</v>
      </c>
      <c r="B31" s="535" t="s">
        <v>310</v>
      </c>
      <c r="C31" s="536" t="s">
        <v>17</v>
      </c>
      <c r="D31" s="537">
        <v>24.225</v>
      </c>
      <c r="E31" s="538">
        <v>362.35</v>
      </c>
      <c r="F31" s="538">
        <f t="shared" si="0"/>
        <v>8777.93</v>
      </c>
      <c r="G31" s="539">
        <f t="shared" si="2"/>
        <v>0.0113039754807116</v>
      </c>
      <c r="H31" s="540">
        <f t="shared" si="3"/>
        <v>0.630945887973568</v>
      </c>
      <c r="I31" s="552"/>
      <c r="L31" s="551">
        <f t="shared" si="1"/>
        <v>776534.77</v>
      </c>
      <c r="M31" s="551">
        <v>777431.12</v>
      </c>
    </row>
    <row r="32" ht="90" spans="1:13">
      <c r="A32" s="541" t="s">
        <v>765</v>
      </c>
      <c r="B32" s="535" t="s">
        <v>704</v>
      </c>
      <c r="C32" s="536" t="s">
        <v>20</v>
      </c>
      <c r="D32" s="537">
        <v>1</v>
      </c>
      <c r="E32" s="538">
        <v>8750.42</v>
      </c>
      <c r="F32" s="538">
        <f t="shared" si="0"/>
        <v>8750.42</v>
      </c>
      <c r="G32" s="539">
        <f t="shared" si="2"/>
        <v>0.0112685488635622</v>
      </c>
      <c r="H32" s="540">
        <f t="shared" si="3"/>
        <v>0.64221443683713</v>
      </c>
      <c r="I32" s="552"/>
      <c r="L32" s="551">
        <f t="shared" si="1"/>
        <v>776534.77</v>
      </c>
      <c r="M32" s="551">
        <v>777431.12</v>
      </c>
    </row>
    <row r="33" spans="1:13">
      <c r="A33" s="541" t="s">
        <v>202</v>
      </c>
      <c r="B33" s="535" t="s">
        <v>162</v>
      </c>
      <c r="C33" s="536" t="s">
        <v>69</v>
      </c>
      <c r="D33" s="537">
        <v>897</v>
      </c>
      <c r="E33" s="538">
        <v>9.74</v>
      </c>
      <c r="F33" s="538">
        <f t="shared" si="0"/>
        <v>8736.78</v>
      </c>
      <c r="G33" s="539">
        <f t="shared" si="2"/>
        <v>0.0112509836488069</v>
      </c>
      <c r="H33" s="540">
        <f t="shared" si="3"/>
        <v>0.653465420485937</v>
      </c>
      <c r="I33" s="552"/>
      <c r="L33" s="551">
        <f t="shared" si="1"/>
        <v>776534.77</v>
      </c>
      <c r="M33" s="551">
        <v>777431.12</v>
      </c>
    </row>
    <row r="34" ht="45" spans="1:13">
      <c r="A34" s="541">
        <v>91314</v>
      </c>
      <c r="B34" s="535" t="s">
        <v>284</v>
      </c>
      <c r="C34" s="536" t="s">
        <v>20</v>
      </c>
      <c r="D34" s="537">
        <v>14</v>
      </c>
      <c r="E34" s="538">
        <v>579.3</v>
      </c>
      <c r="F34" s="538">
        <f t="shared" si="0"/>
        <v>8110.2</v>
      </c>
      <c r="G34" s="539">
        <f t="shared" si="2"/>
        <v>0.0104440912542783</v>
      </c>
      <c r="H34" s="540">
        <f t="shared" si="3"/>
        <v>0.663909511740215</v>
      </c>
      <c r="I34" s="552"/>
      <c r="L34" s="551">
        <f t="shared" si="1"/>
        <v>776534.77</v>
      </c>
      <c r="M34" s="551">
        <v>777431.12</v>
      </c>
    </row>
    <row r="35" spans="1:13">
      <c r="A35" s="541" t="s">
        <v>192</v>
      </c>
      <c r="B35" s="535" t="s">
        <v>172</v>
      </c>
      <c r="C35" s="536" t="s">
        <v>17</v>
      </c>
      <c r="D35" s="537">
        <v>333.84</v>
      </c>
      <c r="E35" s="538">
        <v>22.82</v>
      </c>
      <c r="F35" s="538">
        <f t="shared" si="0"/>
        <v>7618.23</v>
      </c>
      <c r="G35" s="539">
        <f t="shared" si="2"/>
        <v>0.00981054589480906</v>
      </c>
      <c r="H35" s="540">
        <f t="shared" si="3"/>
        <v>0.673720057635024</v>
      </c>
      <c r="I35" s="552"/>
      <c r="L35" s="551">
        <f t="shared" si="1"/>
        <v>776534.77</v>
      </c>
      <c r="M35" s="551">
        <v>777431.12</v>
      </c>
    </row>
    <row r="36" spans="1:13">
      <c r="A36" s="541" t="s">
        <v>194</v>
      </c>
      <c r="B36" s="535" t="s">
        <v>123</v>
      </c>
      <c r="C36" s="536" t="s">
        <v>69</v>
      </c>
      <c r="D36" s="537">
        <v>889.36</v>
      </c>
      <c r="E36" s="538">
        <v>8.53</v>
      </c>
      <c r="F36" s="538">
        <f t="shared" si="0"/>
        <v>7586.24</v>
      </c>
      <c r="G36" s="539">
        <f t="shared" si="2"/>
        <v>0.00976935005756407</v>
      </c>
      <c r="H36" s="540">
        <f t="shared" si="3"/>
        <v>0.683489407692588</v>
      </c>
      <c r="I36" s="552"/>
      <c r="L36" s="551">
        <f t="shared" si="1"/>
        <v>776534.77</v>
      </c>
      <c r="M36" s="551">
        <v>777431.12</v>
      </c>
    </row>
    <row r="37" spans="1:13">
      <c r="A37" s="541">
        <v>93212</v>
      </c>
      <c r="B37" s="535" t="s">
        <v>37</v>
      </c>
      <c r="C37" s="536" t="s">
        <v>17</v>
      </c>
      <c r="D37" s="537">
        <v>13.5</v>
      </c>
      <c r="E37" s="538">
        <v>536.76</v>
      </c>
      <c r="F37" s="538">
        <f t="shared" si="0"/>
        <v>7246.26</v>
      </c>
      <c r="G37" s="539">
        <f t="shared" si="2"/>
        <v>0.00933153321647143</v>
      </c>
      <c r="H37" s="540">
        <f t="shared" si="3"/>
        <v>0.692820940909059</v>
      </c>
      <c r="I37" s="552"/>
      <c r="L37" s="551">
        <f t="shared" si="1"/>
        <v>776534.77</v>
      </c>
      <c r="M37" s="551">
        <v>777431.12</v>
      </c>
    </row>
    <row r="38" spans="1:13">
      <c r="A38" s="541" t="s">
        <v>707</v>
      </c>
      <c r="B38" s="535" t="s">
        <v>709</v>
      </c>
      <c r="C38" s="536" t="s">
        <v>17</v>
      </c>
      <c r="D38" s="537">
        <v>12</v>
      </c>
      <c r="E38" s="538">
        <v>598.14</v>
      </c>
      <c r="F38" s="538">
        <f t="shared" si="0"/>
        <v>7177.68</v>
      </c>
      <c r="G38" s="539">
        <f t="shared" si="2"/>
        <v>0.00924321778920473</v>
      </c>
      <c r="H38" s="540">
        <f t="shared" si="3"/>
        <v>0.702064158698264</v>
      </c>
      <c r="I38" s="552"/>
      <c r="L38" s="551">
        <f t="shared" si="1"/>
        <v>776534.77</v>
      </c>
      <c r="M38" s="551">
        <v>777431.12</v>
      </c>
    </row>
    <row r="39" ht="30" spans="1:13">
      <c r="A39" s="541" t="s">
        <v>319</v>
      </c>
      <c r="B39" s="535" t="s">
        <v>321</v>
      </c>
      <c r="C39" s="536" t="s">
        <v>17</v>
      </c>
      <c r="D39" s="537">
        <v>27.285</v>
      </c>
      <c r="E39" s="538">
        <v>261.49</v>
      </c>
      <c r="F39" s="538">
        <f t="shared" si="0"/>
        <v>7134.75</v>
      </c>
      <c r="G39" s="539">
        <f t="shared" si="2"/>
        <v>0.0091879337225299</v>
      </c>
      <c r="H39" s="540">
        <f t="shared" si="3"/>
        <v>0.711252092420794</v>
      </c>
      <c r="I39" s="552"/>
      <c r="L39" s="551">
        <f t="shared" si="1"/>
        <v>776534.77</v>
      </c>
      <c r="M39" s="551">
        <v>777431.12</v>
      </c>
    </row>
    <row r="40" ht="30" spans="1:13">
      <c r="A40" s="541">
        <v>89170</v>
      </c>
      <c r="B40" s="535" t="s">
        <v>273</v>
      </c>
      <c r="C40" s="536" t="s">
        <v>17</v>
      </c>
      <c r="D40" s="537">
        <v>186.725</v>
      </c>
      <c r="E40" s="538">
        <v>38.11</v>
      </c>
      <c r="F40" s="538">
        <f t="shared" si="0"/>
        <v>7116.09</v>
      </c>
      <c r="G40" s="539">
        <f t="shared" si="2"/>
        <v>0.00916390389061394</v>
      </c>
      <c r="H40" s="540">
        <f t="shared" si="3"/>
        <v>0.720415996311408</v>
      </c>
      <c r="I40" s="552"/>
      <c r="L40" s="551">
        <f t="shared" si="1"/>
        <v>776534.77</v>
      </c>
      <c r="M40" s="551">
        <v>777431.12</v>
      </c>
    </row>
    <row r="41" spans="1:13">
      <c r="A41" s="541">
        <v>6081</v>
      </c>
      <c r="B41" s="535" t="s">
        <v>22</v>
      </c>
      <c r="C41" s="536" t="s">
        <v>23</v>
      </c>
      <c r="D41" s="537">
        <v>490.14</v>
      </c>
      <c r="E41" s="538">
        <v>14.16</v>
      </c>
      <c r="F41" s="538">
        <f t="shared" si="0"/>
        <v>6940.38</v>
      </c>
      <c r="G41" s="539">
        <f t="shared" si="2"/>
        <v>0.00893762941226701</v>
      </c>
      <c r="H41" s="540">
        <f t="shared" si="3"/>
        <v>0.729353625723675</v>
      </c>
      <c r="I41" s="552"/>
      <c r="L41" s="551">
        <f t="shared" si="1"/>
        <v>776534.77</v>
      </c>
      <c r="M41" s="551">
        <v>777431.12</v>
      </c>
    </row>
    <row r="42" ht="30" spans="1:13">
      <c r="A42" s="541">
        <v>92580</v>
      </c>
      <c r="B42" s="535" t="s">
        <v>338</v>
      </c>
      <c r="C42" s="536" t="s">
        <v>17</v>
      </c>
      <c r="D42" s="537">
        <v>287.32</v>
      </c>
      <c r="E42" s="538">
        <v>23.33</v>
      </c>
      <c r="F42" s="538">
        <f t="shared" si="0"/>
        <v>6703.18</v>
      </c>
      <c r="G42" s="539">
        <f t="shared" si="2"/>
        <v>0.00863216981256358</v>
      </c>
      <c r="H42" s="540">
        <f t="shared" si="3"/>
        <v>0.737985795536239</v>
      </c>
      <c r="I42" s="552"/>
      <c r="L42" s="551">
        <f t="shared" si="1"/>
        <v>776534.77</v>
      </c>
      <c r="M42" s="551">
        <v>777431.12</v>
      </c>
    </row>
    <row r="43" ht="30" spans="1:13">
      <c r="A43" s="541">
        <v>85096</v>
      </c>
      <c r="B43" s="535" t="s">
        <v>97</v>
      </c>
      <c r="C43" s="536" t="s">
        <v>17</v>
      </c>
      <c r="D43" s="537">
        <v>19.5</v>
      </c>
      <c r="E43" s="538">
        <v>341.49</v>
      </c>
      <c r="F43" s="538">
        <f t="shared" si="0"/>
        <v>6659.06</v>
      </c>
      <c r="G43" s="539">
        <f t="shared" si="2"/>
        <v>0.00857535329680086</v>
      </c>
      <c r="H43" s="540">
        <f t="shared" si="3"/>
        <v>0.746561148833039</v>
      </c>
      <c r="I43" s="552"/>
      <c r="L43" s="551">
        <f t="shared" si="1"/>
        <v>776534.77</v>
      </c>
      <c r="M43" s="551">
        <v>777431.12</v>
      </c>
    </row>
    <row r="44" ht="45" spans="1:13">
      <c r="A44" s="541">
        <v>73361</v>
      </c>
      <c r="B44" s="535" t="s">
        <v>61</v>
      </c>
      <c r="C44" s="536" t="s">
        <v>23</v>
      </c>
      <c r="D44" s="537">
        <v>16.02</v>
      </c>
      <c r="E44" s="538">
        <v>378.67</v>
      </c>
      <c r="F44" s="538">
        <f t="shared" si="0"/>
        <v>6066.29</v>
      </c>
      <c r="G44" s="539">
        <f t="shared" si="2"/>
        <v>0.00781200048518111</v>
      </c>
      <c r="H44" s="540">
        <f t="shared" si="3"/>
        <v>0.754373149318221</v>
      </c>
      <c r="I44" s="552"/>
      <c r="L44" s="551">
        <f t="shared" si="1"/>
        <v>776534.77</v>
      </c>
      <c r="M44" s="551">
        <v>777431.12</v>
      </c>
    </row>
    <row r="45" ht="30" spans="1:13">
      <c r="A45" s="541">
        <v>87879</v>
      </c>
      <c r="B45" s="535" t="s">
        <v>269</v>
      </c>
      <c r="C45" s="536" t="s">
        <v>17</v>
      </c>
      <c r="D45" s="537">
        <v>1944.03</v>
      </c>
      <c r="E45" s="538">
        <v>3.05</v>
      </c>
      <c r="F45" s="538">
        <f t="shared" si="0"/>
        <v>5929.29</v>
      </c>
      <c r="G45" s="539">
        <f t="shared" si="2"/>
        <v>0.00763557567422255</v>
      </c>
      <c r="H45" s="540">
        <f t="shared" si="3"/>
        <v>0.762008724992443</v>
      </c>
      <c r="I45" s="552"/>
      <c r="L45" s="551">
        <f t="shared" si="1"/>
        <v>776534.77</v>
      </c>
      <c r="M45" s="551">
        <v>777431.12</v>
      </c>
    </row>
    <row r="46" ht="60" spans="1:13">
      <c r="A46" s="541">
        <v>94990</v>
      </c>
      <c r="B46" s="535" t="s">
        <v>676</v>
      </c>
      <c r="C46" s="536" t="s">
        <v>23</v>
      </c>
      <c r="D46" s="537">
        <v>9.406</v>
      </c>
      <c r="E46" s="538">
        <v>601.52</v>
      </c>
      <c r="F46" s="538">
        <f t="shared" si="0"/>
        <v>5657.9</v>
      </c>
      <c r="G46" s="539">
        <f t="shared" si="2"/>
        <v>0.00728608713812003</v>
      </c>
      <c r="H46" s="540">
        <f t="shared" si="3"/>
        <v>0.769294812130563</v>
      </c>
      <c r="I46" s="552"/>
      <c r="L46" s="551">
        <f t="shared" si="1"/>
        <v>776534.77</v>
      </c>
      <c r="M46" s="551">
        <v>777431.12</v>
      </c>
    </row>
    <row r="47" ht="75" spans="1:13">
      <c r="A47" s="541">
        <v>87547</v>
      </c>
      <c r="B47" s="535" t="s">
        <v>92</v>
      </c>
      <c r="C47" s="536" t="s">
        <v>17</v>
      </c>
      <c r="D47" s="537">
        <v>305.9</v>
      </c>
      <c r="E47" s="538">
        <v>17.76</v>
      </c>
      <c r="F47" s="538">
        <f t="shared" si="0"/>
        <v>5432.78</v>
      </c>
      <c r="G47" s="539">
        <f t="shared" si="2"/>
        <v>0.00699618382831718</v>
      </c>
      <c r="H47" s="540">
        <f t="shared" si="3"/>
        <v>0.77629099595888</v>
      </c>
      <c r="I47" s="552"/>
      <c r="L47" s="551">
        <f t="shared" si="1"/>
        <v>776534.77</v>
      </c>
      <c r="M47" s="551">
        <v>777431.12</v>
      </c>
    </row>
    <row r="48" ht="30" spans="1:13">
      <c r="A48" s="534" t="s">
        <v>766</v>
      </c>
      <c r="B48" s="535" t="s">
        <v>108</v>
      </c>
      <c r="C48" s="536" t="s">
        <v>23</v>
      </c>
      <c r="D48" s="537">
        <v>137.07</v>
      </c>
      <c r="E48" s="538">
        <v>38.71</v>
      </c>
      <c r="F48" s="538">
        <f t="shared" si="0"/>
        <v>5305.98</v>
      </c>
      <c r="G48" s="539">
        <f t="shared" si="2"/>
        <v>0.0068328942952548</v>
      </c>
      <c r="H48" s="540">
        <f t="shared" si="3"/>
        <v>0.783123890254135</v>
      </c>
      <c r="I48" s="552"/>
      <c r="L48" s="551">
        <f t="shared" si="1"/>
        <v>776534.77</v>
      </c>
      <c r="M48" s="551">
        <v>777431.12</v>
      </c>
    </row>
    <row r="49" spans="1:13">
      <c r="A49" s="541" t="s">
        <v>127</v>
      </c>
      <c r="B49" s="535" t="s">
        <v>129</v>
      </c>
      <c r="C49" s="536" t="s">
        <v>69</v>
      </c>
      <c r="D49" s="537">
        <v>616.73</v>
      </c>
      <c r="E49" s="538">
        <v>8.52</v>
      </c>
      <c r="F49" s="538">
        <f t="shared" si="0"/>
        <v>5254.54</v>
      </c>
      <c r="G49" s="539">
        <f t="shared" si="2"/>
        <v>0.00676665128594306</v>
      </c>
      <c r="H49" s="540">
        <f t="shared" si="3"/>
        <v>0.789890541540078</v>
      </c>
      <c r="I49" s="552"/>
      <c r="L49" s="551">
        <f t="shared" si="1"/>
        <v>776534.77</v>
      </c>
      <c r="M49" s="551">
        <v>777431.12</v>
      </c>
    </row>
    <row r="50" spans="1:13">
      <c r="A50" s="541">
        <v>94964</v>
      </c>
      <c r="B50" s="535" t="s">
        <v>63</v>
      </c>
      <c r="C50" s="536" t="s">
        <v>23</v>
      </c>
      <c r="D50" s="537">
        <v>13.52</v>
      </c>
      <c r="E50" s="538">
        <v>370.04</v>
      </c>
      <c r="F50" s="538">
        <f t="shared" si="0"/>
        <v>5002.94</v>
      </c>
      <c r="G50" s="539">
        <f t="shared" si="2"/>
        <v>0.00644264776450383</v>
      </c>
      <c r="H50" s="540">
        <f t="shared" si="3"/>
        <v>0.796333189304582</v>
      </c>
      <c r="I50" s="552"/>
      <c r="L50" s="551">
        <f t="shared" si="1"/>
        <v>776534.77</v>
      </c>
      <c r="M50" s="551">
        <v>777431.12</v>
      </c>
    </row>
    <row r="51" spans="1:13">
      <c r="A51" s="541" t="s">
        <v>38</v>
      </c>
      <c r="B51" s="542" t="s">
        <v>40</v>
      </c>
      <c r="C51" s="536" t="s">
        <v>17</v>
      </c>
      <c r="D51" s="537">
        <v>9</v>
      </c>
      <c r="E51" s="538">
        <v>547.23</v>
      </c>
      <c r="F51" s="538">
        <f t="shared" si="0"/>
        <v>4925.07</v>
      </c>
      <c r="G51" s="539">
        <f t="shared" si="2"/>
        <v>0.00634236893217286</v>
      </c>
      <c r="H51" s="540">
        <f t="shared" si="3"/>
        <v>0.802675558236755</v>
      </c>
      <c r="I51" s="552"/>
      <c r="L51" s="551">
        <f t="shared" si="1"/>
        <v>776534.77</v>
      </c>
      <c r="M51" s="551">
        <v>777431.12</v>
      </c>
    </row>
    <row r="52" spans="1:13">
      <c r="A52" s="543" t="s">
        <v>151</v>
      </c>
      <c r="B52" s="544" t="s">
        <v>174</v>
      </c>
      <c r="C52" s="545" t="s">
        <v>69</v>
      </c>
      <c r="D52" s="546">
        <v>540.27</v>
      </c>
      <c r="E52" s="547">
        <v>8.97</v>
      </c>
      <c r="F52" s="547">
        <f t="shared" si="0"/>
        <v>4846.22</v>
      </c>
      <c r="G52" s="539">
        <f t="shared" si="2"/>
        <v>0.00624082808294598</v>
      </c>
      <c r="H52" s="540">
        <f t="shared" si="3"/>
        <v>0.808916386319701</v>
      </c>
      <c r="I52" s="553" t="s">
        <v>767</v>
      </c>
      <c r="L52" s="551">
        <f t="shared" si="1"/>
        <v>776534.77</v>
      </c>
      <c r="M52" s="551">
        <v>777431.12</v>
      </c>
    </row>
    <row r="53" ht="30" spans="1:13">
      <c r="A53" s="543" t="s">
        <v>246</v>
      </c>
      <c r="B53" s="544" t="s">
        <v>248</v>
      </c>
      <c r="C53" s="545" t="s">
        <v>17</v>
      </c>
      <c r="D53" s="546">
        <v>48.67</v>
      </c>
      <c r="E53" s="547">
        <v>94.65</v>
      </c>
      <c r="F53" s="547">
        <f t="shared" si="0"/>
        <v>4606.62</v>
      </c>
      <c r="G53" s="539">
        <f t="shared" si="2"/>
        <v>0.00593227782961991</v>
      </c>
      <c r="H53" s="540">
        <f t="shared" si="3"/>
        <v>0.814848664149321</v>
      </c>
      <c r="I53" s="554"/>
      <c r="L53" s="551">
        <f t="shared" si="1"/>
        <v>776534.77</v>
      </c>
      <c r="M53" s="551">
        <v>777431.12</v>
      </c>
    </row>
    <row r="54" ht="30" spans="1:13">
      <c r="A54" s="548" t="s">
        <v>768</v>
      </c>
      <c r="B54" s="544" t="s">
        <v>475</v>
      </c>
      <c r="C54" s="545" t="s">
        <v>95</v>
      </c>
      <c r="D54" s="546">
        <v>48.97</v>
      </c>
      <c r="E54" s="547">
        <v>91.86</v>
      </c>
      <c r="F54" s="547">
        <f t="shared" si="0"/>
        <v>4498.38</v>
      </c>
      <c r="G54" s="539">
        <f t="shared" si="2"/>
        <v>0.00579288935123922</v>
      </c>
      <c r="H54" s="540">
        <f t="shared" si="3"/>
        <v>0.82064155350056</v>
      </c>
      <c r="I54" s="554"/>
      <c r="L54" s="551">
        <f t="shared" si="1"/>
        <v>776534.77</v>
      </c>
      <c r="M54" s="551">
        <v>777431.12</v>
      </c>
    </row>
    <row r="55" spans="1:13">
      <c r="A55" s="543" t="s">
        <v>196</v>
      </c>
      <c r="B55" s="544" t="s">
        <v>126</v>
      </c>
      <c r="C55" s="545" t="s">
        <v>69</v>
      </c>
      <c r="D55" s="546">
        <v>544.91</v>
      </c>
      <c r="E55" s="547">
        <v>8.1</v>
      </c>
      <c r="F55" s="547">
        <f t="shared" si="0"/>
        <v>4413.77</v>
      </c>
      <c r="G55" s="539">
        <f t="shared" si="2"/>
        <v>0.00568393093331803</v>
      </c>
      <c r="H55" s="540">
        <f t="shared" si="3"/>
        <v>0.826325484433878</v>
      </c>
      <c r="I55" s="554"/>
      <c r="L55" s="551">
        <f t="shared" si="1"/>
        <v>776534.77</v>
      </c>
      <c r="M55" s="551">
        <v>777431.12</v>
      </c>
    </row>
    <row r="56" spans="1:13">
      <c r="A56" s="543">
        <v>79627</v>
      </c>
      <c r="B56" s="544" t="s">
        <v>264</v>
      </c>
      <c r="C56" s="545" t="s">
        <v>17</v>
      </c>
      <c r="D56" s="546">
        <v>6.87</v>
      </c>
      <c r="E56" s="547">
        <v>581.68</v>
      </c>
      <c r="F56" s="547">
        <f t="shared" si="0"/>
        <v>3996.14</v>
      </c>
      <c r="G56" s="539">
        <f t="shared" si="2"/>
        <v>0.00514611856980982</v>
      </c>
      <c r="H56" s="540">
        <f t="shared" si="3"/>
        <v>0.831471603003688</v>
      </c>
      <c r="I56" s="554"/>
      <c r="L56" s="551">
        <f t="shared" si="1"/>
        <v>776534.77</v>
      </c>
      <c r="M56" s="551">
        <v>777431.12</v>
      </c>
    </row>
    <row r="57" spans="1:13">
      <c r="A57" s="543">
        <v>93208</v>
      </c>
      <c r="B57" s="544" t="s">
        <v>44</v>
      </c>
      <c r="C57" s="545" t="s">
        <v>17</v>
      </c>
      <c r="D57" s="546">
        <v>9</v>
      </c>
      <c r="E57" s="547">
        <v>427.35</v>
      </c>
      <c r="F57" s="547">
        <f t="shared" si="0"/>
        <v>3846.15</v>
      </c>
      <c r="G57" s="539">
        <f t="shared" si="2"/>
        <v>0.00495296559611877</v>
      </c>
      <c r="H57" s="540">
        <f t="shared" si="3"/>
        <v>0.836424568599807</v>
      </c>
      <c r="I57" s="554"/>
      <c r="L57" s="551">
        <f t="shared" si="1"/>
        <v>776534.77</v>
      </c>
      <c r="M57" s="551">
        <v>777431.12</v>
      </c>
    </row>
    <row r="58" ht="30" spans="1:13">
      <c r="A58" s="543">
        <v>92778</v>
      </c>
      <c r="B58" s="544" t="s">
        <v>80</v>
      </c>
      <c r="C58" s="545" t="s">
        <v>69</v>
      </c>
      <c r="D58" s="546">
        <v>425.73</v>
      </c>
      <c r="E58" s="547">
        <v>8.97</v>
      </c>
      <c r="F58" s="547">
        <f t="shared" si="0"/>
        <v>3818.8</v>
      </c>
      <c r="G58" s="539">
        <f t="shared" si="2"/>
        <v>0.00491774502254419</v>
      </c>
      <c r="H58" s="540">
        <f t="shared" si="3"/>
        <v>0.841342313622351</v>
      </c>
      <c r="I58" s="554"/>
      <c r="L58" s="551">
        <f t="shared" si="1"/>
        <v>776534.77</v>
      </c>
      <c r="M58" s="551">
        <v>777431.12</v>
      </c>
    </row>
    <row r="59" ht="45" spans="1:13">
      <c r="A59" s="543" t="s">
        <v>341</v>
      </c>
      <c r="B59" s="544" t="s">
        <v>343</v>
      </c>
      <c r="C59" s="545" t="s">
        <v>17</v>
      </c>
      <c r="D59" s="546">
        <v>299.32</v>
      </c>
      <c r="E59" s="547">
        <v>11.79</v>
      </c>
      <c r="F59" s="547">
        <f t="shared" si="0"/>
        <v>3528.98</v>
      </c>
      <c r="G59" s="539">
        <f t="shared" si="2"/>
        <v>0.00454452284216456</v>
      </c>
      <c r="H59" s="540">
        <f t="shared" si="3"/>
        <v>0.845886836464515</v>
      </c>
      <c r="I59" s="554"/>
      <c r="L59" s="551">
        <f t="shared" si="1"/>
        <v>776534.77</v>
      </c>
      <c r="M59" s="551">
        <v>777431.12</v>
      </c>
    </row>
    <row r="60" ht="90" spans="1:13">
      <c r="A60" s="543" t="s">
        <v>668</v>
      </c>
      <c r="B60" s="544" t="s">
        <v>670</v>
      </c>
      <c r="C60" s="545" t="s">
        <v>95</v>
      </c>
      <c r="D60" s="546">
        <v>80.06</v>
      </c>
      <c r="E60" s="547">
        <v>39.4</v>
      </c>
      <c r="F60" s="547">
        <f t="shared" si="0"/>
        <v>3154.36</v>
      </c>
      <c r="G60" s="539">
        <f t="shared" si="2"/>
        <v>0.0040620975671186</v>
      </c>
      <c r="H60" s="540">
        <f t="shared" si="3"/>
        <v>0.849948934031634</v>
      </c>
      <c r="I60" s="554"/>
      <c r="L60" s="551">
        <f t="shared" si="1"/>
        <v>776534.77</v>
      </c>
      <c r="M60" s="551">
        <v>777431.12</v>
      </c>
    </row>
    <row r="61" ht="30" spans="1:13">
      <c r="A61" s="548" t="s">
        <v>769</v>
      </c>
      <c r="B61" s="544" t="s">
        <v>345</v>
      </c>
      <c r="C61" s="545" t="s">
        <v>95</v>
      </c>
      <c r="D61" s="546">
        <v>38.7</v>
      </c>
      <c r="E61" s="547">
        <v>79.79</v>
      </c>
      <c r="F61" s="547">
        <f t="shared" si="0"/>
        <v>3087.87</v>
      </c>
      <c r="G61" s="539">
        <f t="shared" si="2"/>
        <v>0.00397647358404827</v>
      </c>
      <c r="H61" s="540">
        <f t="shared" si="3"/>
        <v>0.853925407615682</v>
      </c>
      <c r="I61" s="554"/>
      <c r="L61" s="551">
        <f t="shared" si="1"/>
        <v>776534.77</v>
      </c>
      <c r="M61" s="551">
        <v>777431.12</v>
      </c>
    </row>
    <row r="62" spans="1:13">
      <c r="A62" s="543">
        <v>86941</v>
      </c>
      <c r="B62" s="544" t="s">
        <v>448</v>
      </c>
      <c r="C62" s="545" t="s">
        <v>20</v>
      </c>
      <c r="D62" s="546">
        <v>7</v>
      </c>
      <c r="E62" s="547">
        <v>440.73</v>
      </c>
      <c r="F62" s="547">
        <f t="shared" si="0"/>
        <v>3085.11</v>
      </c>
      <c r="G62" s="539">
        <f t="shared" si="2"/>
        <v>0.00397291933238225</v>
      </c>
      <c r="H62" s="540">
        <f t="shared" si="3"/>
        <v>0.857898326948065</v>
      </c>
      <c r="I62" s="554"/>
      <c r="L62" s="551">
        <f t="shared" si="1"/>
        <v>776534.77</v>
      </c>
      <c r="M62" s="551">
        <v>777431.12</v>
      </c>
    </row>
    <row r="63" ht="45" spans="1:13">
      <c r="A63" s="543">
        <v>90466</v>
      </c>
      <c r="B63" s="544" t="s">
        <v>544</v>
      </c>
      <c r="C63" s="545" t="s">
        <v>95</v>
      </c>
      <c r="D63" s="546">
        <v>313.13</v>
      </c>
      <c r="E63" s="547">
        <v>9.66</v>
      </c>
      <c r="F63" s="547">
        <f t="shared" si="0"/>
        <v>3024.84</v>
      </c>
      <c r="G63" s="539">
        <f t="shared" si="2"/>
        <v>0.00389530529328391</v>
      </c>
      <c r="H63" s="540">
        <f t="shared" si="3"/>
        <v>0.861793632241348</v>
      </c>
      <c r="I63" s="554"/>
      <c r="L63" s="551">
        <f t="shared" si="1"/>
        <v>776534.77</v>
      </c>
      <c r="M63" s="551">
        <v>777431.12</v>
      </c>
    </row>
    <row r="64" spans="1:13">
      <c r="A64" s="543">
        <v>93210</v>
      </c>
      <c r="B64" s="544" t="s">
        <v>42</v>
      </c>
      <c r="C64" s="545" t="s">
        <v>17</v>
      </c>
      <c r="D64" s="546">
        <v>9</v>
      </c>
      <c r="E64" s="547">
        <v>330.55</v>
      </c>
      <c r="F64" s="547">
        <f t="shared" si="0"/>
        <v>2974.95</v>
      </c>
      <c r="G64" s="539">
        <f t="shared" si="2"/>
        <v>0.00383105833110345</v>
      </c>
      <c r="H64" s="540">
        <f t="shared" si="3"/>
        <v>0.865624690572452</v>
      </c>
      <c r="I64" s="554"/>
      <c r="L64" s="551">
        <f t="shared" si="1"/>
        <v>776534.77</v>
      </c>
      <c r="M64" s="551">
        <v>777431.12</v>
      </c>
    </row>
    <row r="65" ht="30" spans="1:13">
      <c r="A65" s="543" t="s">
        <v>327</v>
      </c>
      <c r="B65" s="544" t="s">
        <v>329</v>
      </c>
      <c r="C65" s="545" t="s">
        <v>95</v>
      </c>
      <c r="D65" s="546">
        <v>25.5</v>
      </c>
      <c r="E65" s="547">
        <v>102.63</v>
      </c>
      <c r="F65" s="547">
        <f t="shared" si="0"/>
        <v>2617.07</v>
      </c>
      <c r="G65" s="539">
        <f t="shared" si="2"/>
        <v>0.00337019036507535</v>
      </c>
      <c r="H65" s="540">
        <f t="shared" si="3"/>
        <v>0.868994880937527</v>
      </c>
      <c r="I65" s="554"/>
      <c r="L65" s="551">
        <f t="shared" si="1"/>
        <v>776534.77</v>
      </c>
      <c r="M65" s="551">
        <v>777431.12</v>
      </c>
    </row>
    <row r="66" ht="30" spans="1:13">
      <c r="A66" s="543" t="s">
        <v>292</v>
      </c>
      <c r="B66" s="544" t="s">
        <v>294</v>
      </c>
      <c r="C66" s="545" t="s">
        <v>17</v>
      </c>
      <c r="D66" s="546">
        <v>3.24</v>
      </c>
      <c r="E66" s="547">
        <v>793.83</v>
      </c>
      <c r="F66" s="547">
        <f t="shared" si="0"/>
        <v>2572.01</v>
      </c>
      <c r="G66" s="539">
        <f t="shared" si="2"/>
        <v>0.00331216334331044</v>
      </c>
      <c r="H66" s="540">
        <f t="shared" si="3"/>
        <v>0.872307044280838</v>
      </c>
      <c r="I66" s="554"/>
      <c r="L66" s="551">
        <f t="shared" si="1"/>
        <v>776534.77</v>
      </c>
      <c r="M66" s="551">
        <v>777431.12</v>
      </c>
    </row>
    <row r="67" ht="30" spans="1:13">
      <c r="A67" s="548" t="s">
        <v>770</v>
      </c>
      <c r="B67" s="544" t="s">
        <v>291</v>
      </c>
      <c r="C67" s="545" t="s">
        <v>20</v>
      </c>
      <c r="D67" s="546">
        <v>1</v>
      </c>
      <c r="E67" s="547">
        <v>2527.32</v>
      </c>
      <c r="F67" s="547">
        <f t="shared" si="0"/>
        <v>2527.32</v>
      </c>
      <c r="G67" s="539">
        <f t="shared" si="2"/>
        <v>0.00325461279731235</v>
      </c>
      <c r="H67" s="540">
        <f t="shared" si="3"/>
        <v>0.87556165707815</v>
      </c>
      <c r="I67" s="554"/>
      <c r="L67" s="551">
        <f t="shared" si="1"/>
        <v>776534.77</v>
      </c>
      <c r="M67" s="551">
        <v>777431.12</v>
      </c>
    </row>
    <row r="68" ht="45" spans="1:13">
      <c r="A68" s="543">
        <v>91926</v>
      </c>
      <c r="B68" s="544" t="s">
        <v>574</v>
      </c>
      <c r="C68" s="545" t="s">
        <v>95</v>
      </c>
      <c r="D68" s="546">
        <v>899.91</v>
      </c>
      <c r="E68" s="547">
        <v>2.7</v>
      </c>
      <c r="F68" s="547">
        <f t="shared" si="0"/>
        <v>2429.76</v>
      </c>
      <c r="G68" s="539">
        <f t="shared" si="2"/>
        <v>0.00312897772755237</v>
      </c>
      <c r="H68" s="540">
        <f t="shared" si="3"/>
        <v>0.878690634805702</v>
      </c>
      <c r="I68" s="554"/>
      <c r="L68" s="551">
        <f t="shared" si="1"/>
        <v>776534.77</v>
      </c>
      <c r="M68" s="551">
        <v>777431.12</v>
      </c>
    </row>
    <row r="69" spans="1:13">
      <c r="A69" s="543">
        <v>93583</v>
      </c>
      <c r="B69" s="544" t="s">
        <v>46</v>
      </c>
      <c r="C69" s="545" t="s">
        <v>17</v>
      </c>
      <c r="D69" s="546">
        <v>9</v>
      </c>
      <c r="E69" s="547">
        <v>269.67</v>
      </c>
      <c r="F69" s="547">
        <f t="shared" si="0"/>
        <v>2427.03</v>
      </c>
      <c r="G69" s="539">
        <f t="shared" si="2"/>
        <v>0.00312546210905662</v>
      </c>
      <c r="H69" s="540">
        <f t="shared" si="3"/>
        <v>0.881816096914759</v>
      </c>
      <c r="I69" s="554"/>
      <c r="L69" s="551">
        <f t="shared" si="1"/>
        <v>776534.77</v>
      </c>
      <c r="M69" s="551">
        <v>777431.12</v>
      </c>
    </row>
    <row r="70" ht="30" spans="1:13">
      <c r="A70" s="548" t="s">
        <v>289</v>
      </c>
      <c r="B70" s="544" t="s">
        <v>110</v>
      </c>
      <c r="C70" s="545" t="s">
        <v>23</v>
      </c>
      <c r="D70" s="546">
        <v>106.82</v>
      </c>
      <c r="E70" s="547">
        <v>22.46</v>
      </c>
      <c r="F70" s="547">
        <f t="shared" si="0"/>
        <v>2399.18</v>
      </c>
      <c r="G70" s="539">
        <f t="shared" si="2"/>
        <v>0.00308959764931067</v>
      </c>
      <c r="H70" s="540">
        <f t="shared" si="3"/>
        <v>0.88490569456407</v>
      </c>
      <c r="I70" s="554"/>
      <c r="L70" s="551">
        <f t="shared" si="1"/>
        <v>776534.77</v>
      </c>
      <c r="M70" s="551">
        <v>777431.12</v>
      </c>
    </row>
    <row r="71" spans="1:13">
      <c r="A71" s="543">
        <v>4721</v>
      </c>
      <c r="B71" s="544" t="s">
        <v>771</v>
      </c>
      <c r="C71" s="545" t="s">
        <v>23</v>
      </c>
      <c r="D71" s="546">
        <v>27.5</v>
      </c>
      <c r="E71" s="547">
        <v>85</v>
      </c>
      <c r="F71" s="547">
        <f t="shared" si="0"/>
        <v>2337.5</v>
      </c>
      <c r="G71" s="539">
        <f t="shared" si="2"/>
        <v>0.00301016785120903</v>
      </c>
      <c r="H71" s="540">
        <f t="shared" si="3"/>
        <v>0.887915862415279</v>
      </c>
      <c r="I71" s="554"/>
      <c r="L71" s="551">
        <f t="shared" si="1"/>
        <v>776534.77</v>
      </c>
      <c r="M71" s="551">
        <v>777431.12</v>
      </c>
    </row>
    <row r="72" ht="45" spans="1:13">
      <c r="A72" s="548" t="s">
        <v>772</v>
      </c>
      <c r="B72" s="544" t="s">
        <v>288</v>
      </c>
      <c r="C72" s="545" t="s">
        <v>20</v>
      </c>
      <c r="D72" s="546">
        <v>2</v>
      </c>
      <c r="E72" s="547">
        <v>1158.6</v>
      </c>
      <c r="F72" s="547">
        <f t="shared" ref="F72:F135" si="4">ROUND(D72*E72,2)</f>
        <v>2317.2</v>
      </c>
      <c r="G72" s="539">
        <f t="shared" si="2"/>
        <v>0.00298402607265094</v>
      </c>
      <c r="H72" s="540">
        <f t="shared" si="3"/>
        <v>0.89089988848793</v>
      </c>
      <c r="I72" s="554"/>
      <c r="L72" s="551">
        <f t="shared" ref="L72:L135" si="5">SUM($F$8:$F$310)</f>
        <v>776534.77</v>
      </c>
      <c r="M72" s="551">
        <v>777431.12</v>
      </c>
    </row>
    <row r="73" ht="30" spans="1:13">
      <c r="A73" s="543" t="s">
        <v>390</v>
      </c>
      <c r="B73" s="544" t="s">
        <v>392</v>
      </c>
      <c r="C73" s="545" t="s">
        <v>95</v>
      </c>
      <c r="D73" s="546">
        <v>64.46</v>
      </c>
      <c r="E73" s="547">
        <v>35.76</v>
      </c>
      <c r="F73" s="547">
        <f t="shared" si="4"/>
        <v>2305.09</v>
      </c>
      <c r="G73" s="539">
        <f t="shared" ref="G73:G136" si="6">F73/$L$7</f>
        <v>0.00296843114958008</v>
      </c>
      <c r="H73" s="540">
        <f t="shared" si="3"/>
        <v>0.89386831963751</v>
      </c>
      <c r="I73" s="554"/>
      <c r="L73" s="551">
        <f t="shared" si="5"/>
        <v>776534.77</v>
      </c>
      <c r="M73" s="551">
        <v>777431.12</v>
      </c>
    </row>
    <row r="74" spans="1:13">
      <c r="A74" s="543" t="s">
        <v>124</v>
      </c>
      <c r="B74" s="544" t="s">
        <v>126</v>
      </c>
      <c r="C74" s="545" t="s">
        <v>69</v>
      </c>
      <c r="D74" s="546">
        <v>218.09</v>
      </c>
      <c r="E74" s="547">
        <v>10.54</v>
      </c>
      <c r="F74" s="547">
        <f t="shared" si="4"/>
        <v>2298.67</v>
      </c>
      <c r="G74" s="539">
        <f t="shared" si="6"/>
        <v>0.00296016365113954</v>
      </c>
      <c r="H74" s="540">
        <f t="shared" ref="H74:H137" si="7">H73+G74</f>
        <v>0.896828483288649</v>
      </c>
      <c r="I74" s="554"/>
      <c r="L74" s="551">
        <f t="shared" si="5"/>
        <v>776534.77</v>
      </c>
      <c r="M74" s="551">
        <v>777431.12</v>
      </c>
    </row>
    <row r="75" ht="30" spans="1:13">
      <c r="A75" s="543" t="s">
        <v>100</v>
      </c>
      <c r="B75" s="544" t="s">
        <v>102</v>
      </c>
      <c r="C75" s="545" t="s">
        <v>17</v>
      </c>
      <c r="D75" s="546">
        <v>1453.292</v>
      </c>
      <c r="E75" s="547">
        <v>1.55</v>
      </c>
      <c r="F75" s="547">
        <f t="shared" si="4"/>
        <v>2252.6</v>
      </c>
      <c r="G75" s="539">
        <f t="shared" si="6"/>
        <v>0.00290083597930843</v>
      </c>
      <c r="H75" s="540">
        <f t="shared" si="7"/>
        <v>0.899729319267958</v>
      </c>
      <c r="I75" s="554"/>
      <c r="L75" s="551">
        <f t="shared" si="5"/>
        <v>776534.77</v>
      </c>
      <c r="M75" s="551">
        <v>777431.12</v>
      </c>
    </row>
    <row r="76" spans="1:13">
      <c r="A76" s="543">
        <v>41722</v>
      </c>
      <c r="B76" s="544" t="s">
        <v>25</v>
      </c>
      <c r="C76" s="545" t="s">
        <v>23</v>
      </c>
      <c r="D76" s="546">
        <v>478.4</v>
      </c>
      <c r="E76" s="547">
        <v>3.92</v>
      </c>
      <c r="F76" s="547">
        <f t="shared" si="4"/>
        <v>1875.33</v>
      </c>
      <c r="G76" s="539">
        <f t="shared" si="6"/>
        <v>0.00241499810755415</v>
      </c>
      <c r="H76" s="540">
        <f t="shared" si="7"/>
        <v>0.902144317375512</v>
      </c>
      <c r="I76" s="554"/>
      <c r="L76" s="551">
        <f t="shared" si="5"/>
        <v>776534.77</v>
      </c>
      <c r="M76" s="551">
        <v>777431.12</v>
      </c>
    </row>
    <row r="77" spans="1:13">
      <c r="A77" s="543" t="s">
        <v>441</v>
      </c>
      <c r="B77" s="544" t="s">
        <v>443</v>
      </c>
      <c r="C77" s="545" t="s">
        <v>20</v>
      </c>
      <c r="D77" s="546">
        <v>6</v>
      </c>
      <c r="E77" s="547">
        <v>306.3</v>
      </c>
      <c r="F77" s="547">
        <f t="shared" si="4"/>
        <v>1837.8</v>
      </c>
      <c r="G77" s="539">
        <f t="shared" si="6"/>
        <v>0.00236666801153025</v>
      </c>
      <c r="H77" s="540">
        <f t="shared" si="7"/>
        <v>0.904510985387042</v>
      </c>
      <c r="I77" s="554"/>
      <c r="L77" s="551">
        <f t="shared" si="5"/>
        <v>776534.77</v>
      </c>
      <c r="M77" s="551">
        <v>777431.12</v>
      </c>
    </row>
    <row r="78" ht="45" spans="1:13">
      <c r="A78" s="543">
        <v>91928</v>
      </c>
      <c r="B78" s="544" t="s">
        <v>576</v>
      </c>
      <c r="C78" s="545" t="s">
        <v>95</v>
      </c>
      <c r="D78" s="546">
        <v>441.1</v>
      </c>
      <c r="E78" s="547">
        <v>3.82</v>
      </c>
      <c r="F78" s="547">
        <f t="shared" si="4"/>
        <v>1685</v>
      </c>
      <c r="G78" s="539">
        <f t="shared" si="6"/>
        <v>0.00216989639755603</v>
      </c>
      <c r="H78" s="540">
        <f t="shared" si="7"/>
        <v>0.906680881784598</v>
      </c>
      <c r="I78" s="554"/>
      <c r="L78" s="551">
        <f t="shared" si="5"/>
        <v>776534.77</v>
      </c>
      <c r="M78" s="551">
        <v>777431.12</v>
      </c>
    </row>
    <row r="79" ht="30" spans="1:13">
      <c r="A79" s="543" t="s">
        <v>136</v>
      </c>
      <c r="B79" s="544" t="s">
        <v>138</v>
      </c>
      <c r="C79" s="545" t="s">
        <v>17</v>
      </c>
      <c r="D79" s="546">
        <v>73.39</v>
      </c>
      <c r="E79" s="547">
        <v>21.57</v>
      </c>
      <c r="F79" s="547">
        <f t="shared" si="4"/>
        <v>1583.02</v>
      </c>
      <c r="G79" s="539">
        <f t="shared" si="6"/>
        <v>0.00203856937404104</v>
      </c>
      <c r="H79" s="540">
        <f t="shared" si="7"/>
        <v>0.908719451158639</v>
      </c>
      <c r="I79" s="554"/>
      <c r="L79" s="551">
        <f t="shared" si="5"/>
        <v>776534.77</v>
      </c>
      <c r="M79" s="551">
        <v>777431.12</v>
      </c>
    </row>
    <row r="80" ht="45" spans="1:13">
      <c r="A80" s="543">
        <v>91854</v>
      </c>
      <c r="B80" s="544" t="s">
        <v>546</v>
      </c>
      <c r="C80" s="545" t="s">
        <v>95</v>
      </c>
      <c r="D80" s="546">
        <v>255.2</v>
      </c>
      <c r="E80" s="547">
        <v>6.1</v>
      </c>
      <c r="F80" s="547">
        <f t="shared" si="4"/>
        <v>1556.72</v>
      </c>
      <c r="G80" s="539">
        <f t="shared" si="6"/>
        <v>0.00200470096142636</v>
      </c>
      <c r="H80" s="540">
        <f t="shared" si="7"/>
        <v>0.910724152120066</v>
      </c>
      <c r="I80" s="554"/>
      <c r="L80" s="551">
        <f t="shared" si="5"/>
        <v>776534.77</v>
      </c>
      <c r="M80" s="551">
        <v>777431.12</v>
      </c>
    </row>
    <row r="81" ht="30" spans="1:13">
      <c r="A81" s="548" t="s">
        <v>773</v>
      </c>
      <c r="B81" s="544" t="s">
        <v>509</v>
      </c>
      <c r="C81" s="545" t="s">
        <v>20</v>
      </c>
      <c r="D81" s="546">
        <v>7</v>
      </c>
      <c r="E81" s="547">
        <v>219.08</v>
      </c>
      <c r="F81" s="547">
        <f t="shared" si="4"/>
        <v>1533.56</v>
      </c>
      <c r="G81" s="539">
        <f t="shared" si="6"/>
        <v>0.00197487615396797</v>
      </c>
      <c r="H81" s="540">
        <f t="shared" si="7"/>
        <v>0.912699028274033</v>
      </c>
      <c r="I81" s="554"/>
      <c r="L81" s="551">
        <f t="shared" si="5"/>
        <v>776534.77</v>
      </c>
      <c r="M81" s="551">
        <v>777431.12</v>
      </c>
    </row>
    <row r="82" ht="30" spans="1:13">
      <c r="A82" s="548" t="s">
        <v>774</v>
      </c>
      <c r="B82" s="544" t="s">
        <v>477</v>
      </c>
      <c r="C82" s="545" t="s">
        <v>95</v>
      </c>
      <c r="D82" s="546">
        <v>12.925</v>
      </c>
      <c r="E82" s="547">
        <v>117.95</v>
      </c>
      <c r="F82" s="547">
        <f t="shared" si="4"/>
        <v>1524.5</v>
      </c>
      <c r="G82" s="539">
        <f t="shared" si="6"/>
        <v>0.00196320893654253</v>
      </c>
      <c r="H82" s="540">
        <f t="shared" si="7"/>
        <v>0.914662237210576</v>
      </c>
      <c r="I82" s="554"/>
      <c r="L82" s="551">
        <f t="shared" si="5"/>
        <v>776534.77</v>
      </c>
      <c r="M82" s="551">
        <v>777431.12</v>
      </c>
    </row>
    <row r="83" ht="60" spans="1:13">
      <c r="A83" s="548" t="s">
        <v>775</v>
      </c>
      <c r="B83" s="544" t="s">
        <v>513</v>
      </c>
      <c r="C83" s="545" t="s">
        <v>20</v>
      </c>
      <c r="D83" s="546">
        <v>1</v>
      </c>
      <c r="E83" s="547">
        <v>1516.42</v>
      </c>
      <c r="F83" s="547">
        <f t="shared" si="4"/>
        <v>1516.42</v>
      </c>
      <c r="G83" s="539">
        <f t="shared" si="6"/>
        <v>0.00195280373601301</v>
      </c>
      <c r="H83" s="540">
        <f t="shared" si="7"/>
        <v>0.916615040946589</v>
      </c>
      <c r="I83" s="554"/>
      <c r="L83" s="551">
        <f t="shared" si="5"/>
        <v>776534.77</v>
      </c>
      <c r="M83" s="551">
        <v>777431.12</v>
      </c>
    </row>
    <row r="84" ht="30" spans="1:13">
      <c r="A84" s="543" t="s">
        <v>243</v>
      </c>
      <c r="B84" s="544" t="s">
        <v>245</v>
      </c>
      <c r="C84" s="545" t="s">
        <v>17</v>
      </c>
      <c r="D84" s="546">
        <v>14.34</v>
      </c>
      <c r="E84" s="547">
        <v>104.73</v>
      </c>
      <c r="F84" s="547">
        <f t="shared" si="4"/>
        <v>1501.83</v>
      </c>
      <c r="G84" s="539">
        <f t="shared" si="6"/>
        <v>0.00193401513753209</v>
      </c>
      <c r="H84" s="540">
        <f t="shared" si="7"/>
        <v>0.918549056084121</v>
      </c>
      <c r="I84" s="554"/>
      <c r="L84" s="551">
        <f t="shared" si="5"/>
        <v>776534.77</v>
      </c>
      <c r="M84" s="551">
        <v>777431.12</v>
      </c>
    </row>
    <row r="85" spans="1:13">
      <c r="A85" s="543" t="s">
        <v>295</v>
      </c>
      <c r="B85" s="544" t="s">
        <v>297</v>
      </c>
      <c r="C85" s="545" t="s">
        <v>17</v>
      </c>
      <c r="D85" s="546">
        <v>2.94</v>
      </c>
      <c r="E85" s="547">
        <v>474.65</v>
      </c>
      <c r="F85" s="547">
        <f t="shared" si="4"/>
        <v>1395.47</v>
      </c>
      <c r="G85" s="539">
        <f t="shared" si="6"/>
        <v>0.00179704767115579</v>
      </c>
      <c r="H85" s="540">
        <f t="shared" si="7"/>
        <v>0.920346103755277</v>
      </c>
      <c r="I85" s="554"/>
      <c r="L85" s="551">
        <f t="shared" si="5"/>
        <v>776534.77</v>
      </c>
      <c r="M85" s="551">
        <v>777431.12</v>
      </c>
    </row>
    <row r="86" ht="30" spans="1:13">
      <c r="A86" s="543" t="s">
        <v>163</v>
      </c>
      <c r="B86" s="544" t="s">
        <v>165</v>
      </c>
      <c r="C86" s="545" t="s">
        <v>17</v>
      </c>
      <c r="D86" s="546">
        <v>157.28</v>
      </c>
      <c r="E86" s="547">
        <v>8.67</v>
      </c>
      <c r="F86" s="547">
        <f t="shared" si="4"/>
        <v>1363.62</v>
      </c>
      <c r="G86" s="539">
        <f t="shared" si="6"/>
        <v>0.00175603212203878</v>
      </c>
      <c r="H86" s="540">
        <f t="shared" si="7"/>
        <v>0.922102135877316</v>
      </c>
      <c r="I86" s="554"/>
      <c r="L86" s="551">
        <f t="shared" si="5"/>
        <v>776534.77</v>
      </c>
      <c r="M86" s="551">
        <v>777431.12</v>
      </c>
    </row>
    <row r="87" ht="45" spans="1:13">
      <c r="A87" s="543">
        <v>91834</v>
      </c>
      <c r="B87" s="544" t="s">
        <v>548</v>
      </c>
      <c r="C87" s="545" t="s">
        <v>95</v>
      </c>
      <c r="D87" s="546">
        <v>232.4</v>
      </c>
      <c r="E87" s="547">
        <v>5.84</v>
      </c>
      <c r="F87" s="547">
        <f t="shared" si="4"/>
        <v>1357.22</v>
      </c>
      <c r="G87" s="539">
        <f t="shared" si="6"/>
        <v>0.0017477903790451</v>
      </c>
      <c r="H87" s="540">
        <f t="shared" si="7"/>
        <v>0.923849926256361</v>
      </c>
      <c r="I87" s="554"/>
      <c r="L87" s="551">
        <f t="shared" si="5"/>
        <v>776534.77</v>
      </c>
      <c r="M87" s="551">
        <v>777431.12</v>
      </c>
    </row>
    <row r="88" ht="45" spans="1:13">
      <c r="A88" s="543">
        <v>92986</v>
      </c>
      <c r="B88" s="544" t="s">
        <v>582</v>
      </c>
      <c r="C88" s="545" t="s">
        <v>95</v>
      </c>
      <c r="D88" s="546">
        <v>83.7</v>
      </c>
      <c r="E88" s="547">
        <v>16.17</v>
      </c>
      <c r="F88" s="547">
        <f t="shared" si="4"/>
        <v>1353.43</v>
      </c>
      <c r="G88" s="539">
        <f t="shared" si="6"/>
        <v>0.00174290972186603</v>
      </c>
      <c r="H88" s="540">
        <f t="shared" si="7"/>
        <v>0.925592835978227</v>
      </c>
      <c r="I88" s="554"/>
      <c r="L88" s="551">
        <f t="shared" si="5"/>
        <v>776534.77</v>
      </c>
      <c r="M88" s="551">
        <v>777431.12</v>
      </c>
    </row>
    <row r="89" spans="1:13">
      <c r="A89" s="543" t="s">
        <v>465</v>
      </c>
      <c r="B89" s="544" t="s">
        <v>467</v>
      </c>
      <c r="C89" s="545" t="s">
        <v>95</v>
      </c>
      <c r="D89" s="546">
        <v>32.63</v>
      </c>
      <c r="E89" s="547">
        <v>41.46</v>
      </c>
      <c r="F89" s="547">
        <f t="shared" si="4"/>
        <v>1352.84</v>
      </c>
      <c r="G89" s="539">
        <f t="shared" si="6"/>
        <v>0.0017421499361838</v>
      </c>
      <c r="H89" s="540">
        <f t="shared" si="7"/>
        <v>0.927334985914411</v>
      </c>
      <c r="I89" s="554"/>
      <c r="L89" s="551">
        <f t="shared" si="5"/>
        <v>776534.77</v>
      </c>
      <c r="M89" s="551">
        <v>777431.12</v>
      </c>
    </row>
    <row r="90" spans="1:13">
      <c r="A90" s="543" t="s">
        <v>198</v>
      </c>
      <c r="B90" s="544" t="s">
        <v>129</v>
      </c>
      <c r="C90" s="545" t="s">
        <v>69</v>
      </c>
      <c r="D90" s="546">
        <v>209.55</v>
      </c>
      <c r="E90" s="547">
        <v>6.44</v>
      </c>
      <c r="F90" s="547">
        <f t="shared" si="4"/>
        <v>1349.5</v>
      </c>
      <c r="G90" s="539">
        <f t="shared" si="6"/>
        <v>0.00173784877655897</v>
      </c>
      <c r="H90" s="540">
        <f t="shared" si="7"/>
        <v>0.92907283469097</v>
      </c>
      <c r="I90" s="554"/>
      <c r="L90" s="551">
        <f t="shared" si="5"/>
        <v>776534.77</v>
      </c>
      <c r="M90" s="551">
        <v>777431.12</v>
      </c>
    </row>
    <row r="91" spans="1:13">
      <c r="A91" s="543" t="s">
        <v>324</v>
      </c>
      <c r="B91" s="544" t="s">
        <v>326</v>
      </c>
      <c r="C91" s="545" t="s">
        <v>95</v>
      </c>
      <c r="D91" s="546">
        <v>18.3</v>
      </c>
      <c r="E91" s="547">
        <v>73.62</v>
      </c>
      <c r="F91" s="547">
        <f t="shared" si="4"/>
        <v>1347.25</v>
      </c>
      <c r="G91" s="539">
        <f t="shared" si="6"/>
        <v>0.00173495128878775</v>
      </c>
      <c r="H91" s="540">
        <f t="shared" si="7"/>
        <v>0.930807785979758</v>
      </c>
      <c r="I91" s="554"/>
      <c r="L91" s="551">
        <f t="shared" si="5"/>
        <v>776534.77</v>
      </c>
      <c r="M91" s="551">
        <v>777431.12</v>
      </c>
    </row>
    <row r="92" ht="105" spans="1:13">
      <c r="A92" s="543">
        <v>95463</v>
      </c>
      <c r="B92" s="544" t="s">
        <v>435</v>
      </c>
      <c r="C92" s="545" t="s">
        <v>20</v>
      </c>
      <c r="D92" s="546">
        <v>1</v>
      </c>
      <c r="E92" s="547">
        <v>1337.28</v>
      </c>
      <c r="F92" s="547">
        <f t="shared" si="4"/>
        <v>1337.28</v>
      </c>
      <c r="G92" s="539">
        <f t="shared" si="6"/>
        <v>0.0017221121985304</v>
      </c>
      <c r="H92" s="540">
        <f t="shared" si="7"/>
        <v>0.932529898178288</v>
      </c>
      <c r="I92" s="554"/>
      <c r="L92" s="551">
        <f t="shared" si="5"/>
        <v>776534.77</v>
      </c>
      <c r="M92" s="551">
        <v>777431.12</v>
      </c>
    </row>
    <row r="93" spans="1:13">
      <c r="A93" s="543">
        <v>93582</v>
      </c>
      <c r="B93" s="544" t="s">
        <v>48</v>
      </c>
      <c r="C93" s="545" t="s">
        <v>17</v>
      </c>
      <c r="D93" s="546">
        <v>9</v>
      </c>
      <c r="E93" s="547">
        <v>138.04</v>
      </c>
      <c r="F93" s="547">
        <f t="shared" si="4"/>
        <v>1242.36</v>
      </c>
      <c r="G93" s="539">
        <f t="shared" si="6"/>
        <v>0.00159987684775532</v>
      </c>
      <c r="H93" s="540">
        <f t="shared" si="7"/>
        <v>0.934129775026043</v>
      </c>
      <c r="I93" s="554"/>
      <c r="L93" s="551">
        <f t="shared" si="5"/>
        <v>776534.77</v>
      </c>
      <c r="M93" s="551">
        <v>777431.12</v>
      </c>
    </row>
    <row r="94" ht="30" spans="1:13">
      <c r="A94" s="543">
        <v>90447</v>
      </c>
      <c r="B94" s="544" t="s">
        <v>542</v>
      </c>
      <c r="C94" s="545" t="s">
        <v>95</v>
      </c>
      <c r="D94" s="546">
        <v>255.2</v>
      </c>
      <c r="E94" s="547">
        <v>4.66</v>
      </c>
      <c r="F94" s="547">
        <f t="shared" si="4"/>
        <v>1189.23</v>
      </c>
      <c r="G94" s="539">
        <f t="shared" si="6"/>
        <v>0.00153145750318431</v>
      </c>
      <c r="H94" s="540">
        <f t="shared" si="7"/>
        <v>0.935661232529228</v>
      </c>
      <c r="I94" s="554"/>
      <c r="L94" s="551">
        <f t="shared" si="5"/>
        <v>776534.77</v>
      </c>
      <c r="M94" s="551">
        <v>777431.12</v>
      </c>
    </row>
    <row r="95" spans="1:13">
      <c r="A95" s="543">
        <v>41598</v>
      </c>
      <c r="B95" s="544" t="s">
        <v>52</v>
      </c>
      <c r="C95" s="545" t="s">
        <v>20</v>
      </c>
      <c r="D95" s="546">
        <v>1</v>
      </c>
      <c r="E95" s="547">
        <v>1180.03</v>
      </c>
      <c r="F95" s="547">
        <f t="shared" si="4"/>
        <v>1180.03</v>
      </c>
      <c r="G95" s="539">
        <f t="shared" si="6"/>
        <v>0.00151960999763089</v>
      </c>
      <c r="H95" s="540">
        <f t="shared" si="7"/>
        <v>0.937180842526858</v>
      </c>
      <c r="I95" s="554"/>
      <c r="L95" s="551">
        <f t="shared" si="5"/>
        <v>776534.77</v>
      </c>
      <c r="M95" s="551">
        <v>777431.12</v>
      </c>
    </row>
    <row r="96" spans="1:13">
      <c r="A96" s="543" t="s">
        <v>330</v>
      </c>
      <c r="B96" s="544" t="s">
        <v>332</v>
      </c>
      <c r="C96" s="545" t="s">
        <v>95</v>
      </c>
      <c r="D96" s="546">
        <v>230.34</v>
      </c>
      <c r="E96" s="547">
        <v>5.07</v>
      </c>
      <c r="F96" s="547">
        <f t="shared" si="4"/>
        <v>1167.82</v>
      </c>
      <c r="G96" s="539">
        <f t="shared" si="6"/>
        <v>0.00150388629732575</v>
      </c>
      <c r="H96" s="540">
        <f t="shared" si="7"/>
        <v>0.938684728824184</v>
      </c>
      <c r="I96" s="554"/>
      <c r="L96" s="551">
        <f t="shared" si="5"/>
        <v>776534.77</v>
      </c>
      <c r="M96" s="551">
        <v>777431.12</v>
      </c>
    </row>
    <row r="97" spans="1:13">
      <c r="A97" s="543" t="s">
        <v>200</v>
      </c>
      <c r="B97" s="544" t="s">
        <v>132</v>
      </c>
      <c r="C97" s="545" t="s">
        <v>69</v>
      </c>
      <c r="D97" s="546">
        <v>209.55</v>
      </c>
      <c r="E97" s="547">
        <v>5.55</v>
      </c>
      <c r="F97" s="547">
        <f t="shared" si="4"/>
        <v>1163</v>
      </c>
      <c r="G97" s="539">
        <f t="shared" si="6"/>
        <v>0.00149767923463363</v>
      </c>
      <c r="H97" s="540">
        <f t="shared" si="7"/>
        <v>0.940182408058818</v>
      </c>
      <c r="I97" s="554"/>
      <c r="L97" s="551">
        <f t="shared" si="5"/>
        <v>776534.77</v>
      </c>
      <c r="M97" s="551">
        <v>777431.12</v>
      </c>
    </row>
    <row r="98" ht="45" spans="1:13">
      <c r="A98" s="543" t="s">
        <v>33</v>
      </c>
      <c r="B98" s="544" t="s">
        <v>35</v>
      </c>
      <c r="C98" s="545" t="s">
        <v>17</v>
      </c>
      <c r="D98" s="546">
        <v>3.9</v>
      </c>
      <c r="E98" s="547">
        <v>295.56</v>
      </c>
      <c r="F98" s="547">
        <f t="shared" si="4"/>
        <v>1152.68</v>
      </c>
      <c r="G98" s="539">
        <f t="shared" si="6"/>
        <v>0.00148438942405631</v>
      </c>
      <c r="H98" s="540">
        <f t="shared" si="7"/>
        <v>0.941666797482874</v>
      </c>
      <c r="I98" s="554"/>
      <c r="L98" s="551">
        <f t="shared" si="5"/>
        <v>776534.77</v>
      </c>
      <c r="M98" s="551">
        <v>777431.12</v>
      </c>
    </row>
    <row r="99" ht="45" spans="1:13">
      <c r="A99" s="548" t="s">
        <v>776</v>
      </c>
      <c r="B99" s="544" t="s">
        <v>617</v>
      </c>
      <c r="C99" s="545" t="s">
        <v>20</v>
      </c>
      <c r="D99" s="546">
        <v>1</v>
      </c>
      <c r="E99" s="547">
        <v>1143.88</v>
      </c>
      <c r="F99" s="547">
        <f t="shared" si="4"/>
        <v>1143.88</v>
      </c>
      <c r="G99" s="539">
        <f t="shared" si="6"/>
        <v>0.00147305702743999</v>
      </c>
      <c r="H99" s="540">
        <f t="shared" si="7"/>
        <v>0.943139854510314</v>
      </c>
      <c r="I99" s="554"/>
      <c r="L99" s="551">
        <f t="shared" si="5"/>
        <v>776534.77</v>
      </c>
      <c r="M99" s="551">
        <v>777431.12</v>
      </c>
    </row>
    <row r="100" ht="60" spans="1:13">
      <c r="A100" s="543" t="s">
        <v>436</v>
      </c>
      <c r="B100" s="544" t="s">
        <v>438</v>
      </c>
      <c r="C100" s="545" t="s">
        <v>20</v>
      </c>
      <c r="D100" s="546">
        <v>1</v>
      </c>
      <c r="E100" s="547">
        <v>1135.09</v>
      </c>
      <c r="F100" s="547">
        <f t="shared" si="4"/>
        <v>1135.09</v>
      </c>
      <c r="G100" s="539">
        <f t="shared" si="6"/>
        <v>0.00146173750854711</v>
      </c>
      <c r="H100" s="540">
        <f t="shared" si="7"/>
        <v>0.944601592018861</v>
      </c>
      <c r="I100" s="554"/>
      <c r="L100" s="551">
        <f t="shared" si="5"/>
        <v>776534.77</v>
      </c>
      <c r="M100" s="551">
        <v>777431.12</v>
      </c>
    </row>
    <row r="101" spans="1:13">
      <c r="A101" s="543">
        <v>92916</v>
      </c>
      <c r="B101" s="544" t="s">
        <v>123</v>
      </c>
      <c r="C101" s="545" t="s">
        <v>69</v>
      </c>
      <c r="D101" s="546">
        <v>101.64</v>
      </c>
      <c r="E101" s="547">
        <v>11.11</v>
      </c>
      <c r="F101" s="547">
        <f t="shared" si="4"/>
        <v>1129.22</v>
      </c>
      <c r="G101" s="539">
        <f t="shared" si="6"/>
        <v>0.00145417828489509</v>
      </c>
      <c r="H101" s="540">
        <f t="shared" si="7"/>
        <v>0.946055770303756</v>
      </c>
      <c r="I101" s="554"/>
      <c r="L101" s="551">
        <f t="shared" si="5"/>
        <v>776534.77</v>
      </c>
      <c r="M101" s="551">
        <v>777431.12</v>
      </c>
    </row>
    <row r="102" spans="1:13">
      <c r="A102" s="543" t="s">
        <v>133</v>
      </c>
      <c r="B102" s="544" t="s">
        <v>135</v>
      </c>
      <c r="C102" s="545" t="s">
        <v>69</v>
      </c>
      <c r="D102" s="546">
        <v>91.36</v>
      </c>
      <c r="E102" s="547">
        <v>12.23</v>
      </c>
      <c r="F102" s="547">
        <f t="shared" si="4"/>
        <v>1117.33</v>
      </c>
      <c r="G102" s="539">
        <f t="shared" si="6"/>
        <v>0.00143886667173963</v>
      </c>
      <c r="H102" s="540">
        <f t="shared" si="7"/>
        <v>0.947494636975496</v>
      </c>
      <c r="I102" s="554"/>
      <c r="L102" s="551">
        <f t="shared" si="5"/>
        <v>776534.77</v>
      </c>
      <c r="M102" s="551">
        <v>777431.12</v>
      </c>
    </row>
    <row r="103" spans="1:13">
      <c r="A103" s="543">
        <v>75220</v>
      </c>
      <c r="B103" s="544" t="s">
        <v>347</v>
      </c>
      <c r="C103" s="545" t="s">
        <v>95</v>
      </c>
      <c r="D103" s="546">
        <v>34.49</v>
      </c>
      <c r="E103" s="547">
        <v>31.37</v>
      </c>
      <c r="F103" s="547">
        <f t="shared" si="4"/>
        <v>1081.95</v>
      </c>
      <c r="G103" s="539">
        <f t="shared" si="6"/>
        <v>0.00139330528625267</v>
      </c>
      <c r="H103" s="540">
        <f t="shared" si="7"/>
        <v>0.948887942261749</v>
      </c>
      <c r="I103" s="554"/>
      <c r="L103" s="551">
        <f t="shared" si="5"/>
        <v>776534.77</v>
      </c>
      <c r="M103" s="551">
        <v>777431.12</v>
      </c>
    </row>
    <row r="104" spans="1:13">
      <c r="A104" s="543" t="s">
        <v>399</v>
      </c>
      <c r="B104" s="544" t="s">
        <v>401</v>
      </c>
      <c r="C104" s="545" t="s">
        <v>20</v>
      </c>
      <c r="D104" s="546">
        <v>8</v>
      </c>
      <c r="E104" s="547">
        <v>130.35</v>
      </c>
      <c r="F104" s="547">
        <f t="shared" si="4"/>
        <v>1042.8</v>
      </c>
      <c r="G104" s="539">
        <f t="shared" si="6"/>
        <v>0.00134288899903349</v>
      </c>
      <c r="H104" s="540">
        <f t="shared" si="7"/>
        <v>0.950230831260782</v>
      </c>
      <c r="I104" s="554"/>
      <c r="L104" s="551">
        <f t="shared" si="5"/>
        <v>776534.77</v>
      </c>
      <c r="M104" s="551">
        <v>777431.12</v>
      </c>
    </row>
    <row r="105" spans="1:13">
      <c r="A105" s="543" t="s">
        <v>26</v>
      </c>
      <c r="B105" s="544" t="s">
        <v>28</v>
      </c>
      <c r="C105" s="545" t="s">
        <v>17</v>
      </c>
      <c r="D105" s="546">
        <v>263.9</v>
      </c>
      <c r="E105" s="547">
        <v>3.75</v>
      </c>
      <c r="F105" s="547">
        <f t="shared" si="4"/>
        <v>989.63</v>
      </c>
      <c r="G105" s="539">
        <f t="shared" si="6"/>
        <v>0.00127441814356877</v>
      </c>
      <c r="H105" s="540">
        <f t="shared" si="7"/>
        <v>0.951505249404351</v>
      </c>
      <c r="I105" s="555" t="s">
        <v>777</v>
      </c>
      <c r="L105" s="551">
        <f t="shared" si="5"/>
        <v>776534.77</v>
      </c>
      <c r="M105" s="551">
        <v>777431.12</v>
      </c>
    </row>
    <row r="106" spans="1:13">
      <c r="A106" s="543">
        <v>93214</v>
      </c>
      <c r="B106" s="544" t="s">
        <v>50</v>
      </c>
      <c r="C106" s="545" t="s">
        <v>20</v>
      </c>
      <c r="D106" s="546">
        <v>1</v>
      </c>
      <c r="E106" s="547">
        <v>965.65</v>
      </c>
      <c r="F106" s="547">
        <f t="shared" si="4"/>
        <v>965.65</v>
      </c>
      <c r="G106" s="539">
        <f t="shared" si="6"/>
        <v>0.00124353736278931</v>
      </c>
      <c r="H106" s="540">
        <f t="shared" si="7"/>
        <v>0.95274878676714</v>
      </c>
      <c r="I106" s="556"/>
      <c r="L106" s="551">
        <f t="shared" si="5"/>
        <v>776534.77</v>
      </c>
      <c r="M106" s="551">
        <v>777431.12</v>
      </c>
    </row>
    <row r="107" ht="45" spans="1:13">
      <c r="A107" s="543">
        <v>92402</v>
      </c>
      <c r="B107" s="544" t="s">
        <v>672</v>
      </c>
      <c r="C107" s="545" t="s">
        <v>17</v>
      </c>
      <c r="D107" s="546">
        <v>15.99</v>
      </c>
      <c r="E107" s="547">
        <v>55.78</v>
      </c>
      <c r="F107" s="547">
        <f t="shared" si="4"/>
        <v>891.92</v>
      </c>
      <c r="G107" s="539">
        <f t="shared" si="6"/>
        <v>0.00114858990795737</v>
      </c>
      <c r="H107" s="540">
        <f t="shared" si="7"/>
        <v>0.953897376675098</v>
      </c>
      <c r="I107" s="556"/>
      <c r="L107" s="551">
        <f t="shared" si="5"/>
        <v>776534.77</v>
      </c>
      <c r="M107" s="551">
        <v>777431.12</v>
      </c>
    </row>
    <row r="108" spans="1:13">
      <c r="A108" s="543">
        <v>83448</v>
      </c>
      <c r="B108" s="544" t="s">
        <v>567</v>
      </c>
      <c r="C108" s="545" t="s">
        <v>20</v>
      </c>
      <c r="D108" s="546">
        <v>4</v>
      </c>
      <c r="E108" s="547">
        <v>220.32</v>
      </c>
      <c r="F108" s="547">
        <f t="shared" si="4"/>
        <v>881.28</v>
      </c>
      <c r="G108" s="539">
        <f t="shared" si="6"/>
        <v>0.00113488801023037</v>
      </c>
      <c r="H108" s="540">
        <f t="shared" si="7"/>
        <v>0.955032264685328</v>
      </c>
      <c r="I108" s="556"/>
      <c r="L108" s="551">
        <f t="shared" si="5"/>
        <v>776534.77</v>
      </c>
      <c r="M108" s="551">
        <v>777431.12</v>
      </c>
    </row>
    <row r="109" ht="45" spans="1:13">
      <c r="A109" s="548" t="s">
        <v>778</v>
      </c>
      <c r="B109" s="544" t="s">
        <v>615</v>
      </c>
      <c r="C109" s="545" t="s">
        <v>20</v>
      </c>
      <c r="D109" s="546">
        <v>12</v>
      </c>
      <c r="E109" s="547">
        <v>72.36</v>
      </c>
      <c r="F109" s="547">
        <f t="shared" si="4"/>
        <v>868.32</v>
      </c>
      <c r="G109" s="539">
        <f t="shared" si="6"/>
        <v>0.00111819848066816</v>
      </c>
      <c r="H109" s="540">
        <f t="shared" si="7"/>
        <v>0.956150463165996</v>
      </c>
      <c r="I109" s="556"/>
      <c r="L109" s="551">
        <f t="shared" si="5"/>
        <v>776534.77</v>
      </c>
      <c r="M109" s="551">
        <v>777431.12</v>
      </c>
    </row>
    <row r="110" ht="45" spans="1:13">
      <c r="A110" s="543" t="s">
        <v>499</v>
      </c>
      <c r="B110" s="544" t="s">
        <v>501</v>
      </c>
      <c r="C110" s="545" t="s">
        <v>20</v>
      </c>
      <c r="D110" s="546">
        <v>4</v>
      </c>
      <c r="E110" s="547">
        <v>216.09</v>
      </c>
      <c r="F110" s="547">
        <f t="shared" si="4"/>
        <v>864.36</v>
      </c>
      <c r="G110" s="539">
        <f t="shared" si="6"/>
        <v>0.00111309890219082</v>
      </c>
      <c r="H110" s="540">
        <f t="shared" si="7"/>
        <v>0.957263562068187</v>
      </c>
      <c r="I110" s="556"/>
      <c r="L110" s="551">
        <f t="shared" si="5"/>
        <v>776534.77</v>
      </c>
      <c r="M110" s="551">
        <v>777431.12</v>
      </c>
    </row>
    <row r="111" ht="45" spans="1:13">
      <c r="A111" s="543">
        <v>91924</v>
      </c>
      <c r="B111" s="544" t="s">
        <v>572</v>
      </c>
      <c r="C111" s="545" t="s">
        <v>95</v>
      </c>
      <c r="D111" s="546">
        <v>570.4</v>
      </c>
      <c r="E111" s="547">
        <v>1.48</v>
      </c>
      <c r="F111" s="547">
        <f t="shared" si="4"/>
        <v>844.19</v>
      </c>
      <c r="G111" s="539">
        <f t="shared" si="6"/>
        <v>0.00108712453403728</v>
      </c>
      <c r="H111" s="540">
        <f t="shared" si="7"/>
        <v>0.958350686602224</v>
      </c>
      <c r="I111" s="556"/>
      <c r="L111" s="551">
        <f t="shared" si="5"/>
        <v>776534.77</v>
      </c>
      <c r="M111" s="551">
        <v>777431.12</v>
      </c>
    </row>
    <row r="112" ht="105" spans="1:13">
      <c r="A112" s="548" t="s">
        <v>779</v>
      </c>
      <c r="B112" s="544" t="s">
        <v>450</v>
      </c>
      <c r="C112" s="545" t="s">
        <v>20</v>
      </c>
      <c r="D112" s="546">
        <v>1</v>
      </c>
      <c r="E112" s="547">
        <v>809.4</v>
      </c>
      <c r="F112" s="547">
        <f t="shared" si="4"/>
        <v>809.4</v>
      </c>
      <c r="G112" s="539">
        <f t="shared" si="6"/>
        <v>0.00104232293423255</v>
      </c>
      <c r="H112" s="540">
        <f t="shared" si="7"/>
        <v>0.959393009536457</v>
      </c>
      <c r="I112" s="556"/>
      <c r="L112" s="551">
        <f t="shared" si="5"/>
        <v>776534.77</v>
      </c>
      <c r="M112" s="551">
        <v>777431.12</v>
      </c>
    </row>
    <row r="113" ht="45" spans="1:13">
      <c r="A113" s="543">
        <v>91867</v>
      </c>
      <c r="B113" s="544" t="s">
        <v>550</v>
      </c>
      <c r="C113" s="545" t="s">
        <v>95</v>
      </c>
      <c r="D113" s="546">
        <v>141.86</v>
      </c>
      <c r="E113" s="547">
        <v>5.65</v>
      </c>
      <c r="F113" s="547">
        <f t="shared" si="4"/>
        <v>801.51</v>
      </c>
      <c r="G113" s="539">
        <f t="shared" si="6"/>
        <v>0.00103216241044815</v>
      </c>
      <c r="H113" s="540">
        <f t="shared" si="7"/>
        <v>0.960425171946905</v>
      </c>
      <c r="I113" s="556"/>
      <c r="L113" s="551">
        <f t="shared" si="5"/>
        <v>776534.77</v>
      </c>
      <c r="M113" s="551">
        <v>777431.12</v>
      </c>
    </row>
    <row r="114" ht="45" spans="1:13">
      <c r="A114" s="548" t="s">
        <v>780</v>
      </c>
      <c r="B114" s="544" t="s">
        <v>781</v>
      </c>
      <c r="C114" s="545" t="s">
        <v>20</v>
      </c>
      <c r="D114" s="546">
        <v>9</v>
      </c>
      <c r="E114" s="547">
        <v>88.48</v>
      </c>
      <c r="F114" s="547">
        <f t="shared" si="4"/>
        <v>796.32</v>
      </c>
      <c r="G114" s="539">
        <f t="shared" si="6"/>
        <v>0.00102547887198921</v>
      </c>
      <c r="H114" s="540">
        <f t="shared" si="7"/>
        <v>0.961450650818894</v>
      </c>
      <c r="I114" s="556"/>
      <c r="L114" s="551">
        <f t="shared" si="5"/>
        <v>776534.77</v>
      </c>
      <c r="M114" s="551">
        <v>777431.12</v>
      </c>
    </row>
    <row r="115" spans="1:13">
      <c r="A115" s="543" t="s">
        <v>444</v>
      </c>
      <c r="B115" s="544" t="s">
        <v>446</v>
      </c>
      <c r="C115" s="545" t="s">
        <v>20</v>
      </c>
      <c r="D115" s="546">
        <v>2</v>
      </c>
      <c r="E115" s="547">
        <v>377.85</v>
      </c>
      <c r="F115" s="547">
        <f t="shared" si="4"/>
        <v>755.7</v>
      </c>
      <c r="G115" s="539">
        <f t="shared" si="6"/>
        <v>0.000973169559426167</v>
      </c>
      <c r="H115" s="540">
        <f t="shared" si="7"/>
        <v>0.96242382037832</v>
      </c>
      <c r="I115" s="556"/>
      <c r="L115" s="551">
        <f t="shared" si="5"/>
        <v>776534.77</v>
      </c>
      <c r="M115" s="551">
        <v>777431.12</v>
      </c>
    </row>
    <row r="116" ht="60" spans="1:13">
      <c r="A116" s="543">
        <v>10851</v>
      </c>
      <c r="B116" s="544" t="s">
        <v>702</v>
      </c>
      <c r="C116" s="545" t="s">
        <v>20</v>
      </c>
      <c r="D116" s="546">
        <v>17</v>
      </c>
      <c r="E116" s="547">
        <v>43.99</v>
      </c>
      <c r="F116" s="547">
        <f t="shared" si="4"/>
        <v>747.83</v>
      </c>
      <c r="G116" s="539">
        <f t="shared" si="6"/>
        <v>0.000963034791088621</v>
      </c>
      <c r="H116" s="540">
        <f t="shared" si="7"/>
        <v>0.963386855169409</v>
      </c>
      <c r="I116" s="556"/>
      <c r="L116" s="551">
        <f t="shared" si="5"/>
        <v>776534.77</v>
      </c>
      <c r="M116" s="551">
        <v>777431.12</v>
      </c>
    </row>
    <row r="117" ht="60" spans="1:13">
      <c r="A117" s="548" t="s">
        <v>782</v>
      </c>
      <c r="B117" s="544" t="s">
        <v>452</v>
      </c>
      <c r="C117" s="545" t="s">
        <v>20</v>
      </c>
      <c r="D117" s="546">
        <v>1</v>
      </c>
      <c r="E117" s="547">
        <v>742.05</v>
      </c>
      <c r="F117" s="547">
        <f t="shared" si="4"/>
        <v>742.05</v>
      </c>
      <c r="G117" s="539">
        <f t="shared" si="6"/>
        <v>0.000955591466947449</v>
      </c>
      <c r="H117" s="540">
        <f t="shared" si="7"/>
        <v>0.964342446636356</v>
      </c>
      <c r="I117" s="556"/>
      <c r="L117" s="551">
        <f t="shared" si="5"/>
        <v>776534.77</v>
      </c>
      <c r="M117" s="551">
        <v>777431.12</v>
      </c>
    </row>
    <row r="118" ht="30" spans="1:13">
      <c r="A118" s="548" t="s">
        <v>783</v>
      </c>
      <c r="B118" s="544" t="s">
        <v>666</v>
      </c>
      <c r="C118" s="545" t="s">
        <v>17</v>
      </c>
      <c r="D118" s="546">
        <v>3.88</v>
      </c>
      <c r="E118" s="547">
        <v>189.25</v>
      </c>
      <c r="F118" s="547">
        <f t="shared" si="4"/>
        <v>734.29</v>
      </c>
      <c r="G118" s="539">
        <f t="shared" si="6"/>
        <v>0.000945598353567606</v>
      </c>
      <c r="H118" s="540">
        <f t="shared" si="7"/>
        <v>0.965288044989924</v>
      </c>
      <c r="I118" s="556"/>
      <c r="L118" s="551">
        <f t="shared" si="5"/>
        <v>776534.77</v>
      </c>
      <c r="M118" s="551">
        <v>777431.12</v>
      </c>
    </row>
    <row r="119" ht="30" spans="1:13">
      <c r="A119" s="543" t="s">
        <v>228</v>
      </c>
      <c r="B119" s="544" t="s">
        <v>230</v>
      </c>
      <c r="C119" s="545" t="s">
        <v>17</v>
      </c>
      <c r="D119" s="546">
        <v>10.35</v>
      </c>
      <c r="E119" s="547">
        <v>70.61</v>
      </c>
      <c r="F119" s="547">
        <f t="shared" si="4"/>
        <v>730.81</v>
      </c>
      <c r="G119" s="539">
        <f t="shared" si="6"/>
        <v>0.00094111690581479</v>
      </c>
      <c r="H119" s="540">
        <f t="shared" si="7"/>
        <v>0.966229161895739</v>
      </c>
      <c r="I119" s="556"/>
      <c r="L119" s="551">
        <f t="shared" si="5"/>
        <v>776534.77</v>
      </c>
      <c r="M119" s="551">
        <v>777431.12</v>
      </c>
    </row>
    <row r="120" spans="1:13">
      <c r="A120" s="543" t="s">
        <v>154</v>
      </c>
      <c r="B120" s="544" t="s">
        <v>132</v>
      </c>
      <c r="C120" s="545" t="s">
        <v>69</v>
      </c>
      <c r="D120" s="546">
        <v>99.19</v>
      </c>
      <c r="E120" s="547">
        <v>7.35</v>
      </c>
      <c r="F120" s="547">
        <f t="shared" si="4"/>
        <v>729.05</v>
      </c>
      <c r="G120" s="539">
        <f t="shared" si="6"/>
        <v>0.000938850426491527</v>
      </c>
      <c r="H120" s="540">
        <f t="shared" si="7"/>
        <v>0.96716801232223</v>
      </c>
      <c r="I120" s="556"/>
      <c r="L120" s="551">
        <f t="shared" si="5"/>
        <v>776534.77</v>
      </c>
      <c r="M120" s="551">
        <v>777431.12</v>
      </c>
    </row>
    <row r="121" ht="30" spans="1:13">
      <c r="A121" s="543">
        <v>10848</v>
      </c>
      <c r="B121" s="544" t="s">
        <v>706</v>
      </c>
      <c r="C121" s="545" t="s">
        <v>20</v>
      </c>
      <c r="D121" s="546">
        <v>1</v>
      </c>
      <c r="E121" s="547">
        <v>678.38</v>
      </c>
      <c r="F121" s="547">
        <f t="shared" si="4"/>
        <v>678.38</v>
      </c>
      <c r="G121" s="539">
        <f t="shared" si="6"/>
        <v>0.000873599001883715</v>
      </c>
      <c r="H121" s="540">
        <f t="shared" si="7"/>
        <v>0.968041611324114</v>
      </c>
      <c r="I121" s="556"/>
      <c r="L121" s="551">
        <f t="shared" si="5"/>
        <v>776534.77</v>
      </c>
      <c r="M121" s="551">
        <v>777431.12</v>
      </c>
    </row>
    <row r="122" ht="75" spans="1:13">
      <c r="A122" s="543" t="s">
        <v>590</v>
      </c>
      <c r="B122" s="544" t="s">
        <v>592</v>
      </c>
      <c r="C122" s="545" t="s">
        <v>20</v>
      </c>
      <c r="D122" s="546">
        <v>1</v>
      </c>
      <c r="E122" s="547">
        <v>651.76</v>
      </c>
      <c r="F122" s="547">
        <f t="shared" si="4"/>
        <v>651.76</v>
      </c>
      <c r="G122" s="539">
        <f t="shared" si="6"/>
        <v>0.000839318502119358</v>
      </c>
      <c r="H122" s="540">
        <f t="shared" si="7"/>
        <v>0.968880929826233</v>
      </c>
      <c r="I122" s="556"/>
      <c r="L122" s="551">
        <f t="shared" si="5"/>
        <v>776534.77</v>
      </c>
      <c r="M122" s="551">
        <v>777431.12</v>
      </c>
    </row>
    <row r="123" ht="30" spans="1:13">
      <c r="A123" s="543">
        <v>88503</v>
      </c>
      <c r="B123" s="544" t="s">
        <v>364</v>
      </c>
      <c r="C123" s="545" t="s">
        <v>20</v>
      </c>
      <c r="D123" s="546">
        <v>1</v>
      </c>
      <c r="E123" s="547">
        <v>640.45</v>
      </c>
      <c r="F123" s="547">
        <f t="shared" si="4"/>
        <v>640.45</v>
      </c>
      <c r="G123" s="539">
        <f t="shared" si="6"/>
        <v>0.000824753796922706</v>
      </c>
      <c r="H123" s="540">
        <f t="shared" si="7"/>
        <v>0.969705683623156</v>
      </c>
      <c r="I123" s="556"/>
      <c r="L123" s="551">
        <f t="shared" si="5"/>
        <v>776534.77</v>
      </c>
      <c r="M123" s="551">
        <v>777431.12</v>
      </c>
    </row>
    <row r="124" spans="1:13">
      <c r="A124" s="543" t="s">
        <v>130</v>
      </c>
      <c r="B124" s="544" t="s">
        <v>132</v>
      </c>
      <c r="C124" s="545" t="s">
        <v>69</v>
      </c>
      <c r="D124" s="546">
        <v>89.91</v>
      </c>
      <c r="E124" s="547">
        <v>7.02</v>
      </c>
      <c r="F124" s="547">
        <f t="shared" si="4"/>
        <v>631.17</v>
      </c>
      <c r="G124" s="539">
        <f t="shared" si="6"/>
        <v>0.000812803269581863</v>
      </c>
      <c r="H124" s="540">
        <f t="shared" si="7"/>
        <v>0.970518486892738</v>
      </c>
      <c r="I124" s="556"/>
      <c r="L124" s="551">
        <f t="shared" si="5"/>
        <v>776534.77</v>
      </c>
      <c r="M124" s="551">
        <v>777431.12</v>
      </c>
    </row>
    <row r="125" ht="45" spans="1:13">
      <c r="A125" s="543">
        <v>91315</v>
      </c>
      <c r="B125" s="544" t="s">
        <v>286</v>
      </c>
      <c r="C125" s="545" t="s">
        <v>20</v>
      </c>
      <c r="D125" s="546">
        <v>1</v>
      </c>
      <c r="E125" s="547">
        <v>608.18</v>
      </c>
      <c r="F125" s="547">
        <f t="shared" si="4"/>
        <v>608.18</v>
      </c>
      <c r="G125" s="539">
        <f t="shared" si="6"/>
        <v>0.000783197383421736</v>
      </c>
      <c r="H125" s="540">
        <f t="shared" si="7"/>
        <v>0.971301684276159</v>
      </c>
      <c r="I125" s="556"/>
      <c r="L125" s="551">
        <f t="shared" si="5"/>
        <v>776534.77</v>
      </c>
      <c r="M125" s="551">
        <v>777431.12</v>
      </c>
    </row>
    <row r="126" ht="45" spans="1:13">
      <c r="A126" s="548" t="s">
        <v>784</v>
      </c>
      <c r="B126" s="544" t="s">
        <v>632</v>
      </c>
      <c r="C126" s="545" t="s">
        <v>633</v>
      </c>
      <c r="D126" s="546">
        <v>55.8</v>
      </c>
      <c r="E126" s="547">
        <v>10.89</v>
      </c>
      <c r="F126" s="547">
        <f t="shared" si="4"/>
        <v>607.66</v>
      </c>
      <c r="G126" s="539">
        <f t="shared" si="6"/>
        <v>0.0007825277418035</v>
      </c>
      <c r="H126" s="540">
        <f t="shared" si="7"/>
        <v>0.972084212017963</v>
      </c>
      <c r="I126" s="556"/>
      <c r="L126" s="551">
        <f t="shared" si="5"/>
        <v>776534.77</v>
      </c>
      <c r="M126" s="551">
        <v>777431.12</v>
      </c>
    </row>
    <row r="127" ht="30" spans="1:13">
      <c r="A127" s="548" t="s">
        <v>783</v>
      </c>
      <c r="B127" s="544" t="s">
        <v>664</v>
      </c>
      <c r="C127" s="545" t="s">
        <v>17</v>
      </c>
      <c r="D127" s="546">
        <v>3.13</v>
      </c>
      <c r="E127" s="547">
        <v>189.25</v>
      </c>
      <c r="F127" s="547">
        <f t="shared" si="4"/>
        <v>592.35</v>
      </c>
      <c r="G127" s="539">
        <f t="shared" si="6"/>
        <v>0.000762811947235795</v>
      </c>
      <c r="H127" s="540">
        <f t="shared" si="7"/>
        <v>0.972847023965199</v>
      </c>
      <c r="I127" s="556"/>
      <c r="L127" s="551">
        <f t="shared" si="5"/>
        <v>776534.77</v>
      </c>
      <c r="M127" s="551">
        <v>777431.12</v>
      </c>
    </row>
    <row r="128" ht="45" spans="1:13">
      <c r="A128" s="543">
        <v>92008</v>
      </c>
      <c r="B128" s="544" t="s">
        <v>539</v>
      </c>
      <c r="C128" s="545" t="s">
        <v>20</v>
      </c>
      <c r="D128" s="546">
        <v>21</v>
      </c>
      <c r="E128" s="547">
        <v>27.8</v>
      </c>
      <c r="F128" s="547">
        <f t="shared" si="4"/>
        <v>583.8</v>
      </c>
      <c r="G128" s="539">
        <f t="shared" si="6"/>
        <v>0.000751801493705169</v>
      </c>
      <c r="H128" s="540">
        <f t="shared" si="7"/>
        <v>0.973598825458904</v>
      </c>
      <c r="I128" s="556"/>
      <c r="L128" s="551">
        <f t="shared" si="5"/>
        <v>776534.77</v>
      </c>
      <c r="M128" s="551">
        <v>777431.12</v>
      </c>
    </row>
    <row r="129" ht="75" spans="1:13">
      <c r="A129" s="543" t="s">
        <v>593</v>
      </c>
      <c r="B129" s="544" t="s">
        <v>595</v>
      </c>
      <c r="C129" s="545" t="s">
        <v>20</v>
      </c>
      <c r="D129" s="546">
        <v>2</v>
      </c>
      <c r="E129" s="547">
        <v>279.96</v>
      </c>
      <c r="F129" s="547">
        <f t="shared" si="4"/>
        <v>559.92</v>
      </c>
      <c r="G129" s="539">
        <f t="shared" si="6"/>
        <v>0.000721049490159983</v>
      </c>
      <c r="H129" s="540">
        <f t="shared" si="7"/>
        <v>0.974319874949064</v>
      </c>
      <c r="I129" s="556"/>
      <c r="L129" s="551">
        <f t="shared" si="5"/>
        <v>776534.77</v>
      </c>
      <c r="M129" s="551">
        <v>777431.12</v>
      </c>
    </row>
    <row r="130" ht="30" spans="1:13">
      <c r="A130" s="543">
        <v>90443</v>
      </c>
      <c r="B130" s="544" t="s">
        <v>484</v>
      </c>
      <c r="C130" s="545" t="s">
        <v>95</v>
      </c>
      <c r="D130" s="546">
        <v>57.93</v>
      </c>
      <c r="E130" s="547">
        <v>9.58</v>
      </c>
      <c r="F130" s="547">
        <f t="shared" si="4"/>
        <v>554.97</v>
      </c>
      <c r="G130" s="539">
        <f t="shared" si="6"/>
        <v>0.000714675017063306</v>
      </c>
      <c r="H130" s="540">
        <f t="shared" si="7"/>
        <v>0.975034549966127</v>
      </c>
      <c r="I130" s="556"/>
      <c r="L130" s="551">
        <f t="shared" si="5"/>
        <v>776534.77</v>
      </c>
      <c r="M130" s="551">
        <v>777431.12</v>
      </c>
    </row>
    <row r="131" ht="30" spans="1:13">
      <c r="A131" s="543">
        <v>93009</v>
      </c>
      <c r="B131" s="544" t="s">
        <v>554</v>
      </c>
      <c r="C131" s="545" t="s">
        <v>95</v>
      </c>
      <c r="D131" s="546">
        <v>42.3</v>
      </c>
      <c r="E131" s="547">
        <v>13.01</v>
      </c>
      <c r="F131" s="547">
        <f t="shared" si="4"/>
        <v>550.32</v>
      </c>
      <c r="G131" s="539">
        <f t="shared" si="6"/>
        <v>0.000708686875669457</v>
      </c>
      <c r="H131" s="540">
        <f t="shared" si="7"/>
        <v>0.975743236841797</v>
      </c>
      <c r="I131" s="556"/>
      <c r="L131" s="551">
        <f t="shared" si="5"/>
        <v>776534.77</v>
      </c>
      <c r="M131" s="551">
        <v>777431.12</v>
      </c>
    </row>
    <row r="132" ht="30" spans="1:13">
      <c r="A132" s="543" t="s">
        <v>298</v>
      </c>
      <c r="B132" s="544" t="s">
        <v>300</v>
      </c>
      <c r="C132" s="545" t="s">
        <v>95</v>
      </c>
      <c r="D132" s="546">
        <v>14.975</v>
      </c>
      <c r="E132" s="547">
        <v>36.4</v>
      </c>
      <c r="F132" s="547">
        <f t="shared" si="4"/>
        <v>545.09</v>
      </c>
      <c r="G132" s="539">
        <f t="shared" si="6"/>
        <v>0.000701951826316805</v>
      </c>
      <c r="H132" s="540">
        <f t="shared" si="7"/>
        <v>0.976445188668114</v>
      </c>
      <c r="I132" s="556"/>
      <c r="L132" s="551">
        <f t="shared" si="5"/>
        <v>776534.77</v>
      </c>
      <c r="M132" s="551">
        <v>777431.12</v>
      </c>
    </row>
    <row r="133" ht="30" spans="1:13">
      <c r="A133" s="543">
        <v>86889</v>
      </c>
      <c r="B133" s="544" t="s">
        <v>460</v>
      </c>
      <c r="C133" s="545" t="s">
        <v>20</v>
      </c>
      <c r="D133" s="546">
        <v>1</v>
      </c>
      <c r="E133" s="547">
        <v>535.94</v>
      </c>
      <c r="F133" s="547">
        <f t="shared" si="4"/>
        <v>535.94</v>
      </c>
      <c r="G133" s="539">
        <f t="shared" si="6"/>
        <v>0.000690168709380521</v>
      </c>
      <c r="H133" s="540">
        <f t="shared" si="7"/>
        <v>0.977135357377494</v>
      </c>
      <c r="I133" s="556"/>
      <c r="L133" s="551">
        <f t="shared" si="5"/>
        <v>776534.77</v>
      </c>
      <c r="M133" s="551">
        <v>777431.12</v>
      </c>
    </row>
    <row r="134" ht="30" spans="1:13">
      <c r="A134" s="548" t="s">
        <v>785</v>
      </c>
      <c r="B134" s="544" t="s">
        <v>558</v>
      </c>
      <c r="C134" s="545" t="s">
        <v>20</v>
      </c>
      <c r="D134" s="546">
        <v>65</v>
      </c>
      <c r="E134" s="547">
        <v>8.24</v>
      </c>
      <c r="F134" s="547">
        <f t="shared" si="4"/>
        <v>535.6</v>
      </c>
      <c r="G134" s="539">
        <f t="shared" si="6"/>
        <v>0.000689730866783982</v>
      </c>
      <c r="H134" s="540">
        <f t="shared" si="7"/>
        <v>0.977825088244278</v>
      </c>
      <c r="I134" s="556"/>
      <c r="L134" s="551">
        <f t="shared" si="5"/>
        <v>776534.77</v>
      </c>
      <c r="M134" s="551">
        <v>777431.12</v>
      </c>
    </row>
    <row r="135" spans="1:13">
      <c r="A135" s="543">
        <v>9537</v>
      </c>
      <c r="B135" s="544" t="s">
        <v>700</v>
      </c>
      <c r="C135" s="545" t="s">
        <v>17</v>
      </c>
      <c r="D135" s="546">
        <v>263.9</v>
      </c>
      <c r="E135" s="547">
        <v>2.02</v>
      </c>
      <c r="F135" s="547">
        <f t="shared" si="4"/>
        <v>533.08</v>
      </c>
      <c r="G135" s="539">
        <f t="shared" si="6"/>
        <v>0.000686485680480219</v>
      </c>
      <c r="H135" s="540">
        <f t="shared" si="7"/>
        <v>0.978511573924758</v>
      </c>
      <c r="I135" s="556"/>
      <c r="L135" s="551">
        <f t="shared" si="5"/>
        <v>776534.77</v>
      </c>
      <c r="M135" s="551">
        <v>777431.12</v>
      </c>
    </row>
    <row r="136" ht="30" spans="1:13">
      <c r="A136" s="543" t="s">
        <v>384</v>
      </c>
      <c r="B136" s="544" t="s">
        <v>386</v>
      </c>
      <c r="C136" s="545" t="s">
        <v>95</v>
      </c>
      <c r="D136" s="546">
        <v>28.57</v>
      </c>
      <c r="E136" s="547">
        <v>18.48</v>
      </c>
      <c r="F136" s="547">
        <f t="shared" ref="F136:F199" si="8">ROUND(D136*E136,2)</f>
        <v>527.97</v>
      </c>
      <c r="G136" s="539">
        <f t="shared" si="6"/>
        <v>0.000679905163808698</v>
      </c>
      <c r="H136" s="540">
        <f t="shared" si="7"/>
        <v>0.979191479088567</v>
      </c>
      <c r="I136" s="556"/>
      <c r="L136" s="551">
        <f t="shared" ref="L136:L199" si="9">SUM($F$8:$F$310)</f>
        <v>776534.77</v>
      </c>
      <c r="M136" s="551">
        <v>777431.12</v>
      </c>
    </row>
    <row r="137" ht="30" spans="1:13">
      <c r="A137" s="543">
        <v>93187</v>
      </c>
      <c r="B137" s="544" t="s">
        <v>314</v>
      </c>
      <c r="C137" s="545" t="s">
        <v>95</v>
      </c>
      <c r="D137" s="546">
        <v>12</v>
      </c>
      <c r="E137" s="547">
        <v>43.93</v>
      </c>
      <c r="F137" s="547">
        <f t="shared" si="8"/>
        <v>527.16</v>
      </c>
      <c r="G137" s="539">
        <f t="shared" ref="G137:G200" si="10">F137/$L$7</f>
        <v>0.00067886206821106</v>
      </c>
      <c r="H137" s="540">
        <f t="shared" si="7"/>
        <v>0.979870341156778</v>
      </c>
      <c r="I137" s="556"/>
      <c r="L137" s="551">
        <f t="shared" si="9"/>
        <v>776534.77</v>
      </c>
      <c r="M137" s="551">
        <v>777431.12</v>
      </c>
    </row>
    <row r="138" ht="30" spans="1:13">
      <c r="A138" s="543">
        <v>93186</v>
      </c>
      <c r="B138" s="544" t="s">
        <v>312</v>
      </c>
      <c r="C138" s="545" t="s">
        <v>95</v>
      </c>
      <c r="D138" s="546">
        <v>13.5</v>
      </c>
      <c r="E138" s="547">
        <v>38</v>
      </c>
      <c r="F138" s="547">
        <f t="shared" si="8"/>
        <v>513</v>
      </c>
      <c r="G138" s="539">
        <f t="shared" si="10"/>
        <v>0.000660627211837533</v>
      </c>
      <c r="H138" s="540">
        <f t="shared" ref="H138:H201" si="11">H137+G138</f>
        <v>0.980530968368616</v>
      </c>
      <c r="I138" s="556"/>
      <c r="L138" s="551">
        <f t="shared" si="9"/>
        <v>776534.77</v>
      </c>
      <c r="M138" s="551">
        <v>777431.12</v>
      </c>
    </row>
    <row r="139" ht="30" spans="1:13">
      <c r="A139" s="543">
        <v>37539</v>
      </c>
      <c r="B139" s="544" t="s">
        <v>489</v>
      </c>
      <c r="C139" s="545" t="s">
        <v>20</v>
      </c>
      <c r="D139" s="546">
        <v>25</v>
      </c>
      <c r="E139" s="547">
        <v>20</v>
      </c>
      <c r="F139" s="547">
        <f t="shared" si="8"/>
        <v>500</v>
      </c>
      <c r="G139" s="539">
        <f t="shared" si="10"/>
        <v>0.000643886171381611</v>
      </c>
      <c r="H139" s="540">
        <f t="shared" si="11"/>
        <v>0.981174854539997</v>
      </c>
      <c r="I139" s="556"/>
      <c r="L139" s="551">
        <f t="shared" si="9"/>
        <v>776534.77</v>
      </c>
      <c r="M139" s="551">
        <v>777431.12</v>
      </c>
    </row>
    <row r="140" ht="30" spans="1:13">
      <c r="A140" s="543">
        <v>93196</v>
      </c>
      <c r="B140" s="544" t="s">
        <v>316</v>
      </c>
      <c r="C140" s="545" t="s">
        <v>95</v>
      </c>
      <c r="D140" s="546">
        <v>13.5</v>
      </c>
      <c r="E140" s="547">
        <v>36.4</v>
      </c>
      <c r="F140" s="547">
        <f t="shared" si="8"/>
        <v>491.4</v>
      </c>
      <c r="G140" s="539">
        <f t="shared" si="10"/>
        <v>0.000632811329233847</v>
      </c>
      <c r="H140" s="540">
        <f t="shared" si="11"/>
        <v>0.981807665869231</v>
      </c>
      <c r="I140" s="556"/>
      <c r="L140" s="551">
        <f t="shared" si="9"/>
        <v>776534.77</v>
      </c>
      <c r="M140" s="551">
        <v>777431.12</v>
      </c>
    </row>
    <row r="141" ht="30" spans="1:13">
      <c r="A141" s="543">
        <v>93197</v>
      </c>
      <c r="B141" s="544" t="s">
        <v>318</v>
      </c>
      <c r="C141" s="545" t="s">
        <v>95</v>
      </c>
      <c r="D141" s="546">
        <v>12</v>
      </c>
      <c r="E141" s="547">
        <v>40.4</v>
      </c>
      <c r="F141" s="547">
        <f t="shared" si="8"/>
        <v>484.8</v>
      </c>
      <c r="G141" s="539">
        <f t="shared" si="10"/>
        <v>0.00062431203177161</v>
      </c>
      <c r="H141" s="540">
        <f t="shared" si="11"/>
        <v>0.982431977901003</v>
      </c>
      <c r="I141" s="556"/>
      <c r="L141" s="551">
        <f t="shared" si="9"/>
        <v>776534.77</v>
      </c>
      <c r="M141" s="551">
        <v>777431.12</v>
      </c>
    </row>
    <row r="142" ht="45" spans="1:13">
      <c r="A142" s="543">
        <v>88631</v>
      </c>
      <c r="B142" s="544" t="s">
        <v>94</v>
      </c>
      <c r="C142" s="545" t="s">
        <v>95</v>
      </c>
      <c r="D142" s="546">
        <v>143.13</v>
      </c>
      <c r="E142" s="547">
        <v>3.1</v>
      </c>
      <c r="F142" s="547">
        <f t="shared" si="8"/>
        <v>443.7</v>
      </c>
      <c r="G142" s="539">
        <f t="shared" si="10"/>
        <v>0.000571384588484042</v>
      </c>
      <c r="H142" s="540">
        <f t="shared" si="11"/>
        <v>0.983003362489487</v>
      </c>
      <c r="I142" s="556"/>
      <c r="L142" s="551">
        <f t="shared" si="9"/>
        <v>776534.77</v>
      </c>
      <c r="M142" s="551">
        <v>777431.12</v>
      </c>
    </row>
    <row r="143" ht="45" spans="1:13">
      <c r="A143" s="543">
        <v>91931</v>
      </c>
      <c r="B143" s="544" t="s">
        <v>578</v>
      </c>
      <c r="C143" s="545" t="s">
        <v>95</v>
      </c>
      <c r="D143" s="546">
        <v>85.7</v>
      </c>
      <c r="E143" s="547">
        <v>4.89</v>
      </c>
      <c r="F143" s="547">
        <f t="shared" si="8"/>
        <v>419.07</v>
      </c>
      <c r="G143" s="539">
        <f t="shared" si="10"/>
        <v>0.000539666755681784</v>
      </c>
      <c r="H143" s="540">
        <f t="shared" si="11"/>
        <v>0.983543029245169</v>
      </c>
      <c r="I143" s="556"/>
      <c r="L143" s="551">
        <f t="shared" si="9"/>
        <v>776534.77</v>
      </c>
      <c r="M143" s="551">
        <v>777431.12</v>
      </c>
    </row>
    <row r="144" ht="30" spans="1:13">
      <c r="A144" s="548" t="s">
        <v>786</v>
      </c>
      <c r="B144" s="544" t="s">
        <v>503</v>
      </c>
      <c r="C144" s="545" t="s">
        <v>20</v>
      </c>
      <c r="D144" s="546">
        <v>12</v>
      </c>
      <c r="E144" s="547">
        <v>34.67</v>
      </c>
      <c r="F144" s="547">
        <f t="shared" si="8"/>
        <v>416.04</v>
      </c>
      <c r="G144" s="539">
        <f t="shared" si="10"/>
        <v>0.000535764805483211</v>
      </c>
      <c r="H144" s="540">
        <f t="shared" si="11"/>
        <v>0.984078794050652</v>
      </c>
      <c r="I144" s="556"/>
      <c r="L144" s="551">
        <f t="shared" si="9"/>
        <v>776534.77</v>
      </c>
      <c r="M144" s="551">
        <v>777431.12</v>
      </c>
    </row>
    <row r="145" spans="1:13">
      <c r="A145" s="543">
        <v>93200</v>
      </c>
      <c r="B145" s="544" t="s">
        <v>266</v>
      </c>
      <c r="C145" s="545" t="s">
        <v>95</v>
      </c>
      <c r="D145" s="546">
        <v>183.065</v>
      </c>
      <c r="E145" s="547">
        <v>2.13</v>
      </c>
      <c r="F145" s="547">
        <f t="shared" si="8"/>
        <v>389.93</v>
      </c>
      <c r="G145" s="539">
        <f t="shared" si="10"/>
        <v>0.000502141069613663</v>
      </c>
      <c r="H145" s="540">
        <f t="shared" si="11"/>
        <v>0.984580935120265</v>
      </c>
      <c r="I145" s="556"/>
      <c r="L145" s="551">
        <f t="shared" si="9"/>
        <v>776534.77</v>
      </c>
      <c r="M145" s="551">
        <v>777431.12</v>
      </c>
    </row>
    <row r="146" ht="30" spans="1:13">
      <c r="A146" s="543">
        <v>91941</v>
      </c>
      <c r="B146" s="544" t="s">
        <v>565</v>
      </c>
      <c r="C146" s="545" t="s">
        <v>20</v>
      </c>
      <c r="D146" s="546">
        <v>58</v>
      </c>
      <c r="E146" s="547">
        <v>6.71</v>
      </c>
      <c r="F146" s="547">
        <f t="shared" si="8"/>
        <v>389.18</v>
      </c>
      <c r="G146" s="539">
        <f t="shared" si="10"/>
        <v>0.000501175240356591</v>
      </c>
      <c r="H146" s="540">
        <f t="shared" si="11"/>
        <v>0.985082110360622</v>
      </c>
      <c r="I146" s="556"/>
      <c r="L146" s="551">
        <f t="shared" si="9"/>
        <v>776534.77</v>
      </c>
      <c r="M146" s="551">
        <v>777431.12</v>
      </c>
    </row>
    <row r="147" ht="30" spans="1:13">
      <c r="A147" s="543">
        <v>72254</v>
      </c>
      <c r="B147" s="544" t="s">
        <v>585</v>
      </c>
      <c r="C147" s="545" t="s">
        <v>95</v>
      </c>
      <c r="D147" s="546">
        <v>13</v>
      </c>
      <c r="E147" s="547">
        <v>29.24</v>
      </c>
      <c r="F147" s="547">
        <f t="shared" si="8"/>
        <v>380.12</v>
      </c>
      <c r="G147" s="539">
        <f t="shared" si="10"/>
        <v>0.000489508022931156</v>
      </c>
      <c r="H147" s="540">
        <f t="shared" si="11"/>
        <v>0.985571618383553</v>
      </c>
      <c r="I147" s="556"/>
      <c r="L147" s="551">
        <f t="shared" si="9"/>
        <v>776534.77</v>
      </c>
      <c r="M147" s="551">
        <v>777431.12</v>
      </c>
    </row>
    <row r="148" ht="45" spans="1:13">
      <c r="A148" s="543">
        <v>92000</v>
      </c>
      <c r="B148" s="544" t="s">
        <v>537</v>
      </c>
      <c r="C148" s="545" t="s">
        <v>20</v>
      </c>
      <c r="D148" s="546">
        <v>20</v>
      </c>
      <c r="E148" s="547">
        <v>17.37</v>
      </c>
      <c r="F148" s="547">
        <f t="shared" si="8"/>
        <v>347.4</v>
      </c>
      <c r="G148" s="539">
        <f t="shared" si="10"/>
        <v>0.000447372111875943</v>
      </c>
      <c r="H148" s="540">
        <f t="shared" si="11"/>
        <v>0.986018990495429</v>
      </c>
      <c r="I148" s="556"/>
      <c r="L148" s="551">
        <f t="shared" si="9"/>
        <v>776534.77</v>
      </c>
      <c r="M148" s="551">
        <v>777431.12</v>
      </c>
    </row>
    <row r="149" ht="45" spans="1:13">
      <c r="A149" s="543" t="s">
        <v>659</v>
      </c>
      <c r="B149" s="544" t="s">
        <v>661</v>
      </c>
      <c r="C149" s="545" t="s">
        <v>20</v>
      </c>
      <c r="D149" s="546">
        <v>2</v>
      </c>
      <c r="E149" s="547">
        <v>171.62</v>
      </c>
      <c r="F149" s="547">
        <f t="shared" si="8"/>
        <v>343.24</v>
      </c>
      <c r="G149" s="539">
        <f t="shared" si="10"/>
        <v>0.000442014978930048</v>
      </c>
      <c r="H149" s="540">
        <f t="shared" si="11"/>
        <v>0.986461005474359</v>
      </c>
      <c r="I149" s="556"/>
      <c r="L149" s="551">
        <f t="shared" si="9"/>
        <v>776534.77</v>
      </c>
      <c r="M149" s="551">
        <v>777431.12</v>
      </c>
    </row>
    <row r="150" ht="30" spans="1:13">
      <c r="A150" s="543" t="s">
        <v>677</v>
      </c>
      <c r="B150" s="544" t="s">
        <v>679</v>
      </c>
      <c r="C150" s="545" t="s">
        <v>17</v>
      </c>
      <c r="D150" s="546">
        <v>30</v>
      </c>
      <c r="E150" s="547">
        <v>11.19</v>
      </c>
      <c r="F150" s="547">
        <f t="shared" si="8"/>
        <v>335.7</v>
      </c>
      <c r="G150" s="539">
        <f t="shared" si="10"/>
        <v>0.000432305175465614</v>
      </c>
      <c r="H150" s="540">
        <f t="shared" si="11"/>
        <v>0.986893310649825</v>
      </c>
      <c r="I150" s="556"/>
      <c r="L150" s="551">
        <f t="shared" si="9"/>
        <v>776534.77</v>
      </c>
      <c r="M150" s="551">
        <v>777431.12</v>
      </c>
    </row>
    <row r="151" ht="30" spans="1:13">
      <c r="A151" s="543" t="s">
        <v>301</v>
      </c>
      <c r="B151" s="544" t="s">
        <v>303</v>
      </c>
      <c r="C151" s="545" t="s">
        <v>95</v>
      </c>
      <c r="D151" s="546">
        <v>7.55</v>
      </c>
      <c r="E151" s="547">
        <v>44.41</v>
      </c>
      <c r="F151" s="547">
        <f t="shared" si="8"/>
        <v>335.3</v>
      </c>
      <c r="G151" s="539">
        <f t="shared" si="10"/>
        <v>0.000431790066528508</v>
      </c>
      <c r="H151" s="540">
        <f t="shared" si="11"/>
        <v>0.987325100716353</v>
      </c>
      <c r="I151" s="556"/>
      <c r="L151" s="551">
        <f t="shared" si="9"/>
        <v>776534.77</v>
      </c>
      <c r="M151" s="551">
        <v>777431.12</v>
      </c>
    </row>
    <row r="152" spans="1:13">
      <c r="A152" s="543" t="s">
        <v>157</v>
      </c>
      <c r="B152" s="544" t="s">
        <v>187</v>
      </c>
      <c r="C152" s="545" t="s">
        <v>69</v>
      </c>
      <c r="D152" s="546">
        <v>58.73</v>
      </c>
      <c r="E152" s="547">
        <v>5.67</v>
      </c>
      <c r="F152" s="547">
        <f t="shared" si="8"/>
        <v>333</v>
      </c>
      <c r="G152" s="539">
        <f t="shared" si="10"/>
        <v>0.000428828190140153</v>
      </c>
      <c r="H152" s="540">
        <f t="shared" si="11"/>
        <v>0.987753928906493</v>
      </c>
      <c r="I152" s="556"/>
      <c r="L152" s="551">
        <f t="shared" si="9"/>
        <v>776534.77</v>
      </c>
      <c r="M152" s="551">
        <v>777431.12</v>
      </c>
    </row>
    <row r="153" ht="45" spans="1:13">
      <c r="A153" s="548" t="s">
        <v>787</v>
      </c>
      <c r="B153" s="544" t="s">
        <v>624</v>
      </c>
      <c r="C153" s="545" t="s">
        <v>20</v>
      </c>
      <c r="D153" s="546">
        <v>8</v>
      </c>
      <c r="E153" s="547">
        <v>41.55</v>
      </c>
      <c r="F153" s="547">
        <f t="shared" si="8"/>
        <v>332.4</v>
      </c>
      <c r="G153" s="539">
        <f t="shared" si="10"/>
        <v>0.000428055526734495</v>
      </c>
      <c r="H153" s="540">
        <f t="shared" si="11"/>
        <v>0.988181984433228</v>
      </c>
      <c r="I153" s="556"/>
      <c r="L153" s="551">
        <f t="shared" si="9"/>
        <v>776534.77</v>
      </c>
      <c r="M153" s="551">
        <v>777431.12</v>
      </c>
    </row>
    <row r="154" ht="45" spans="1:13">
      <c r="A154" s="548" t="s">
        <v>788</v>
      </c>
      <c r="B154" s="544" t="s">
        <v>628</v>
      </c>
      <c r="C154" s="545" t="s">
        <v>20</v>
      </c>
      <c r="D154" s="546">
        <v>4</v>
      </c>
      <c r="E154" s="547">
        <v>81.44</v>
      </c>
      <c r="F154" s="547">
        <f t="shared" si="8"/>
        <v>325.76</v>
      </c>
      <c r="G154" s="539">
        <f t="shared" si="10"/>
        <v>0.000419504718378547</v>
      </c>
      <c r="H154" s="540">
        <f t="shared" si="11"/>
        <v>0.988601489151607</v>
      </c>
      <c r="I154" s="556"/>
      <c r="L154" s="551">
        <f t="shared" si="9"/>
        <v>776534.77</v>
      </c>
      <c r="M154" s="551">
        <v>777431.12</v>
      </c>
    </row>
    <row r="155" ht="30" spans="1:13">
      <c r="A155" s="543">
        <v>93661</v>
      </c>
      <c r="B155" s="544" t="s">
        <v>605</v>
      </c>
      <c r="C155" s="545" t="s">
        <v>20</v>
      </c>
      <c r="D155" s="546">
        <v>8</v>
      </c>
      <c r="E155" s="547">
        <v>39.86</v>
      </c>
      <c r="F155" s="547">
        <f t="shared" si="8"/>
        <v>318.88</v>
      </c>
      <c r="G155" s="539">
        <f t="shared" si="10"/>
        <v>0.000410644844660336</v>
      </c>
      <c r="H155" s="540">
        <f t="shared" si="11"/>
        <v>0.989012133996267</v>
      </c>
      <c r="I155" s="556"/>
      <c r="L155" s="551">
        <f t="shared" si="9"/>
        <v>776534.77</v>
      </c>
      <c r="M155" s="551">
        <v>777431.12</v>
      </c>
    </row>
    <row r="156" ht="45" spans="1:13">
      <c r="A156" s="543">
        <v>91992</v>
      </c>
      <c r="B156" s="544" t="s">
        <v>519</v>
      </c>
      <c r="C156" s="545" t="s">
        <v>20</v>
      </c>
      <c r="D156" s="546">
        <v>12</v>
      </c>
      <c r="E156" s="547">
        <v>26.45</v>
      </c>
      <c r="F156" s="547">
        <f t="shared" si="8"/>
        <v>317.4</v>
      </c>
      <c r="G156" s="539">
        <f t="shared" si="10"/>
        <v>0.000408738941593047</v>
      </c>
      <c r="H156" s="540">
        <f t="shared" si="11"/>
        <v>0.98942087293786</v>
      </c>
      <c r="I156" s="556"/>
      <c r="L156" s="551">
        <f t="shared" si="9"/>
        <v>776534.77</v>
      </c>
      <c r="M156" s="551">
        <v>777431.12</v>
      </c>
    </row>
    <row r="157" ht="30" spans="1:13">
      <c r="A157" s="543" t="s">
        <v>789</v>
      </c>
      <c r="B157" s="544" t="s">
        <v>19</v>
      </c>
      <c r="C157" s="545" t="s">
        <v>20</v>
      </c>
      <c r="D157" s="546">
        <v>1</v>
      </c>
      <c r="E157" s="547">
        <v>317.04</v>
      </c>
      <c r="F157" s="547">
        <f t="shared" si="8"/>
        <v>317.04</v>
      </c>
      <c r="G157" s="539">
        <f t="shared" si="10"/>
        <v>0.000408275343549652</v>
      </c>
      <c r="H157" s="540">
        <f t="shared" si="11"/>
        <v>0.98982914828141</v>
      </c>
      <c r="I157" s="556"/>
      <c r="L157" s="551">
        <f t="shared" si="9"/>
        <v>776534.77</v>
      </c>
      <c r="M157" s="551">
        <v>777431.12</v>
      </c>
    </row>
    <row r="158" ht="30" spans="1:13">
      <c r="A158" s="543">
        <v>90456</v>
      </c>
      <c r="B158" s="544" t="s">
        <v>556</v>
      </c>
      <c r="C158" s="545" t="s">
        <v>20</v>
      </c>
      <c r="D158" s="546">
        <v>99</v>
      </c>
      <c r="E158" s="547">
        <v>3.08</v>
      </c>
      <c r="F158" s="547">
        <f t="shared" si="8"/>
        <v>304.92</v>
      </c>
      <c r="G158" s="539">
        <f t="shared" si="10"/>
        <v>0.000392667542755362</v>
      </c>
      <c r="H158" s="540">
        <f t="shared" si="11"/>
        <v>0.990221815824165</v>
      </c>
      <c r="I158" s="556"/>
      <c r="L158" s="551">
        <f t="shared" si="9"/>
        <v>776534.77</v>
      </c>
      <c r="M158" s="551">
        <v>777431.12</v>
      </c>
    </row>
    <row r="159" ht="45" spans="1:13">
      <c r="A159" s="543">
        <v>91940</v>
      </c>
      <c r="B159" s="544" t="s">
        <v>563</v>
      </c>
      <c r="C159" s="545" t="s">
        <v>561</v>
      </c>
      <c r="D159" s="546">
        <v>29</v>
      </c>
      <c r="E159" s="547">
        <v>10.25</v>
      </c>
      <c r="F159" s="547">
        <f t="shared" si="8"/>
        <v>297.25</v>
      </c>
      <c r="G159" s="539">
        <f t="shared" si="10"/>
        <v>0.000382790328886368</v>
      </c>
      <c r="H159" s="540">
        <f t="shared" si="11"/>
        <v>0.990604606153051</v>
      </c>
      <c r="I159" s="556"/>
      <c r="L159" s="551">
        <f t="shared" si="9"/>
        <v>776534.77</v>
      </c>
      <c r="M159" s="551">
        <v>777431.12</v>
      </c>
    </row>
    <row r="160" ht="45" spans="1:13">
      <c r="A160" s="543">
        <v>91953</v>
      </c>
      <c r="B160" s="544" t="s">
        <v>529</v>
      </c>
      <c r="C160" s="545" t="s">
        <v>20</v>
      </c>
      <c r="D160" s="546">
        <v>18</v>
      </c>
      <c r="E160" s="547">
        <v>16.5</v>
      </c>
      <c r="F160" s="547">
        <f t="shared" si="8"/>
        <v>297</v>
      </c>
      <c r="G160" s="539">
        <f t="shared" si="10"/>
        <v>0.000382468385800677</v>
      </c>
      <c r="H160" s="540">
        <f t="shared" si="11"/>
        <v>0.990987074538852</v>
      </c>
      <c r="I160" s="556"/>
      <c r="L160" s="551">
        <f t="shared" si="9"/>
        <v>776534.77</v>
      </c>
      <c r="M160" s="551">
        <v>777431.12</v>
      </c>
    </row>
    <row r="161" ht="30" spans="1:13">
      <c r="A161" s="543">
        <v>95544</v>
      </c>
      <c r="B161" s="544" t="s">
        <v>454</v>
      </c>
      <c r="C161" s="545" t="s">
        <v>20</v>
      </c>
      <c r="D161" s="546">
        <v>13</v>
      </c>
      <c r="E161" s="547">
        <v>21.72</v>
      </c>
      <c r="F161" s="547">
        <f t="shared" si="8"/>
        <v>282.36</v>
      </c>
      <c r="G161" s="539">
        <f t="shared" si="10"/>
        <v>0.000363615398702623</v>
      </c>
      <c r="H161" s="540">
        <f t="shared" si="11"/>
        <v>0.991350689937555</v>
      </c>
      <c r="I161" s="556"/>
      <c r="L161" s="551">
        <f t="shared" si="9"/>
        <v>776534.77</v>
      </c>
      <c r="M161" s="551">
        <v>777431.12</v>
      </c>
    </row>
    <row r="162" ht="45" spans="1:13">
      <c r="A162" s="543">
        <v>91993</v>
      </c>
      <c r="B162" s="544" t="s">
        <v>521</v>
      </c>
      <c r="C162" s="545" t="s">
        <v>20</v>
      </c>
      <c r="D162" s="546">
        <v>10</v>
      </c>
      <c r="E162" s="547">
        <v>27.67</v>
      </c>
      <c r="F162" s="547">
        <f t="shared" si="8"/>
        <v>276.7</v>
      </c>
      <c r="G162" s="539">
        <f t="shared" si="10"/>
        <v>0.000356326607242584</v>
      </c>
      <c r="H162" s="540">
        <f t="shared" si="11"/>
        <v>0.991707016544797</v>
      </c>
      <c r="I162" s="556"/>
      <c r="L162" s="551">
        <f t="shared" si="9"/>
        <v>776534.77</v>
      </c>
      <c r="M162" s="551">
        <v>777431.12</v>
      </c>
    </row>
    <row r="163" spans="1:13">
      <c r="A163" s="543">
        <v>7156</v>
      </c>
      <c r="B163" s="544" t="s">
        <v>692</v>
      </c>
      <c r="C163" s="545" t="s">
        <v>17</v>
      </c>
      <c r="D163" s="546">
        <v>11.5</v>
      </c>
      <c r="E163" s="547">
        <v>23.06</v>
      </c>
      <c r="F163" s="547">
        <f t="shared" si="8"/>
        <v>265.19</v>
      </c>
      <c r="G163" s="539">
        <f t="shared" si="10"/>
        <v>0.000341504347577379</v>
      </c>
      <c r="H163" s="540">
        <f t="shared" si="11"/>
        <v>0.992048520892375</v>
      </c>
      <c r="I163" s="556"/>
      <c r="L163" s="551">
        <f t="shared" si="9"/>
        <v>776534.77</v>
      </c>
      <c r="M163" s="551">
        <v>777431.12</v>
      </c>
    </row>
    <row r="164" spans="1:13">
      <c r="A164" s="543">
        <v>89865</v>
      </c>
      <c r="B164" s="544" t="s">
        <v>482</v>
      </c>
      <c r="C164" s="545" t="s">
        <v>95</v>
      </c>
      <c r="D164" s="546">
        <v>30</v>
      </c>
      <c r="E164" s="547">
        <v>8.67</v>
      </c>
      <c r="F164" s="547">
        <f t="shared" si="8"/>
        <v>260.1</v>
      </c>
      <c r="G164" s="539">
        <f t="shared" si="10"/>
        <v>0.000334949586352714</v>
      </c>
      <c r="H164" s="540">
        <f t="shared" si="11"/>
        <v>0.992383470478728</v>
      </c>
      <c r="I164" s="556"/>
      <c r="L164" s="551">
        <f t="shared" si="9"/>
        <v>776534.77</v>
      </c>
      <c r="M164" s="551">
        <v>777431.12</v>
      </c>
    </row>
    <row r="165" ht="45" spans="1:13">
      <c r="A165" s="548" t="s">
        <v>790</v>
      </c>
      <c r="B165" s="544" t="s">
        <v>626</v>
      </c>
      <c r="C165" s="545" t="s">
        <v>20</v>
      </c>
      <c r="D165" s="546">
        <v>4</v>
      </c>
      <c r="E165" s="547">
        <v>62.8</v>
      </c>
      <c r="F165" s="547">
        <f t="shared" si="8"/>
        <v>251.2</v>
      </c>
      <c r="G165" s="539">
        <f t="shared" si="10"/>
        <v>0.000323488412502121</v>
      </c>
      <c r="H165" s="540">
        <f t="shared" si="11"/>
        <v>0.99270695889123</v>
      </c>
      <c r="I165" s="556"/>
      <c r="L165" s="551">
        <f t="shared" si="9"/>
        <v>776534.77</v>
      </c>
      <c r="M165" s="551">
        <v>777431.12</v>
      </c>
    </row>
    <row r="166" ht="30" spans="1:13">
      <c r="A166" s="543">
        <v>91939</v>
      </c>
      <c r="B166" s="544" t="s">
        <v>560</v>
      </c>
      <c r="C166" s="545" t="s">
        <v>561</v>
      </c>
      <c r="D166" s="546">
        <v>12</v>
      </c>
      <c r="E166" s="547">
        <v>19.71</v>
      </c>
      <c r="F166" s="547">
        <f t="shared" si="8"/>
        <v>236.52</v>
      </c>
      <c r="G166" s="539">
        <f t="shared" si="10"/>
        <v>0.000304583914510357</v>
      </c>
      <c r="H166" s="540">
        <f t="shared" si="11"/>
        <v>0.99301154280574</v>
      </c>
      <c r="I166" s="556"/>
      <c r="L166" s="551">
        <f t="shared" si="9"/>
        <v>776534.77</v>
      </c>
      <c r="M166" s="551">
        <v>777431.12</v>
      </c>
    </row>
    <row r="167" spans="1:13">
      <c r="A167" s="543" t="s">
        <v>374</v>
      </c>
      <c r="B167" s="544" t="s">
        <v>355</v>
      </c>
      <c r="C167" s="545" t="s">
        <v>95</v>
      </c>
      <c r="D167" s="546">
        <v>11.88</v>
      </c>
      <c r="E167" s="547">
        <v>19.81</v>
      </c>
      <c r="F167" s="547">
        <f t="shared" si="8"/>
        <v>235.34</v>
      </c>
      <c r="G167" s="539">
        <f t="shared" si="10"/>
        <v>0.000303064343145897</v>
      </c>
      <c r="H167" s="540">
        <f t="shared" si="11"/>
        <v>0.993314607148886</v>
      </c>
      <c r="I167" s="556"/>
      <c r="L167" s="551">
        <f t="shared" si="9"/>
        <v>776534.77</v>
      </c>
      <c r="M167" s="551">
        <v>777431.12</v>
      </c>
    </row>
    <row r="168" spans="1:13">
      <c r="A168" s="543" t="s">
        <v>14</v>
      </c>
      <c r="B168" s="544" t="s">
        <v>16</v>
      </c>
      <c r="C168" s="545" t="s">
        <v>17</v>
      </c>
      <c r="D168" s="546">
        <v>1600</v>
      </c>
      <c r="E168" s="547">
        <v>0.14</v>
      </c>
      <c r="F168" s="547">
        <f t="shared" si="8"/>
        <v>224</v>
      </c>
      <c r="G168" s="539">
        <f t="shared" si="10"/>
        <v>0.000288461004778962</v>
      </c>
      <c r="H168" s="540">
        <f t="shared" si="11"/>
        <v>0.993603068153665</v>
      </c>
      <c r="I168" s="556"/>
      <c r="L168" s="551">
        <f t="shared" si="9"/>
        <v>776534.77</v>
      </c>
      <c r="M168" s="551">
        <v>777431.12</v>
      </c>
    </row>
    <row r="169" ht="30" spans="1:13">
      <c r="A169" s="548" t="s">
        <v>791</v>
      </c>
      <c r="B169" s="544" t="s">
        <v>613</v>
      </c>
      <c r="C169" s="545" t="s">
        <v>20</v>
      </c>
      <c r="D169" s="546">
        <v>2</v>
      </c>
      <c r="E169" s="547">
        <v>108.45</v>
      </c>
      <c r="F169" s="547">
        <f t="shared" si="8"/>
        <v>216.9</v>
      </c>
      <c r="G169" s="539">
        <f t="shared" si="10"/>
        <v>0.000279317821145343</v>
      </c>
      <c r="H169" s="540">
        <f t="shared" si="11"/>
        <v>0.99388238597481</v>
      </c>
      <c r="I169" s="556"/>
      <c r="L169" s="551">
        <f t="shared" si="9"/>
        <v>776534.77</v>
      </c>
      <c r="M169" s="551">
        <v>777431.12</v>
      </c>
    </row>
    <row r="170" ht="60" spans="1:13">
      <c r="A170" s="543">
        <v>11758</v>
      </c>
      <c r="B170" s="544" t="s">
        <v>456</v>
      </c>
      <c r="C170" s="545" t="s">
        <v>20</v>
      </c>
      <c r="D170" s="546">
        <v>6</v>
      </c>
      <c r="E170" s="547">
        <v>34.89</v>
      </c>
      <c r="F170" s="547">
        <f t="shared" si="8"/>
        <v>209.34</v>
      </c>
      <c r="G170" s="539">
        <f t="shared" si="10"/>
        <v>0.000269582262234053</v>
      </c>
      <c r="H170" s="540">
        <f t="shared" si="11"/>
        <v>0.994151968237044</v>
      </c>
      <c r="I170" s="556"/>
      <c r="L170" s="551">
        <f t="shared" si="9"/>
        <v>776534.77</v>
      </c>
      <c r="M170" s="551">
        <v>777431.12</v>
      </c>
    </row>
    <row r="171" ht="30" spans="1:13">
      <c r="A171" s="543" t="s">
        <v>360</v>
      </c>
      <c r="B171" s="544" t="s">
        <v>362</v>
      </c>
      <c r="C171" s="545" t="s">
        <v>95</v>
      </c>
      <c r="D171" s="546">
        <v>15.14</v>
      </c>
      <c r="E171" s="547">
        <v>12.85</v>
      </c>
      <c r="F171" s="547">
        <f t="shared" si="8"/>
        <v>194.55</v>
      </c>
      <c r="G171" s="539">
        <f t="shared" si="10"/>
        <v>0.000250536109284585</v>
      </c>
      <c r="H171" s="540">
        <f t="shared" si="11"/>
        <v>0.994402504346329</v>
      </c>
      <c r="I171" s="556"/>
      <c r="L171" s="551">
        <f t="shared" si="9"/>
        <v>776534.77</v>
      </c>
      <c r="M171" s="551">
        <v>777431.12</v>
      </c>
    </row>
    <row r="172" ht="30" spans="1:13">
      <c r="A172" s="543">
        <v>83399</v>
      </c>
      <c r="B172" s="544" t="s">
        <v>517</v>
      </c>
      <c r="C172" s="545" t="s">
        <v>20</v>
      </c>
      <c r="D172" s="546">
        <v>7</v>
      </c>
      <c r="E172" s="547">
        <v>26.34</v>
      </c>
      <c r="F172" s="547">
        <f t="shared" si="8"/>
        <v>184.38</v>
      </c>
      <c r="G172" s="539">
        <f t="shared" si="10"/>
        <v>0.000237439464558683</v>
      </c>
      <c r="H172" s="540">
        <f t="shared" si="11"/>
        <v>0.994639943810887</v>
      </c>
      <c r="I172" s="556"/>
      <c r="L172" s="551">
        <f t="shared" si="9"/>
        <v>776534.77</v>
      </c>
      <c r="M172" s="551">
        <v>777431.12</v>
      </c>
    </row>
    <row r="173" ht="30" spans="1:13">
      <c r="A173" s="543">
        <v>85005</v>
      </c>
      <c r="B173" s="544" t="s">
        <v>458</v>
      </c>
      <c r="C173" s="545" t="s">
        <v>17</v>
      </c>
      <c r="D173" s="546">
        <v>0.75</v>
      </c>
      <c r="E173" s="547">
        <v>238.56</v>
      </c>
      <c r="F173" s="547">
        <f t="shared" si="8"/>
        <v>178.92</v>
      </c>
      <c r="G173" s="539">
        <f t="shared" si="10"/>
        <v>0.000230408227567196</v>
      </c>
      <c r="H173" s="540">
        <f t="shared" si="11"/>
        <v>0.994870352038455</v>
      </c>
      <c r="I173" s="556"/>
      <c r="L173" s="551">
        <f t="shared" si="9"/>
        <v>776534.77</v>
      </c>
      <c r="M173" s="551">
        <v>777431.12</v>
      </c>
    </row>
    <row r="174" spans="1:13">
      <c r="A174" s="543" t="s">
        <v>145</v>
      </c>
      <c r="B174" s="544" t="s">
        <v>123</v>
      </c>
      <c r="C174" s="545" t="s">
        <v>69</v>
      </c>
      <c r="D174" s="546">
        <v>14.72</v>
      </c>
      <c r="E174" s="547">
        <v>11.92</v>
      </c>
      <c r="F174" s="547">
        <f t="shared" si="8"/>
        <v>175.46</v>
      </c>
      <c r="G174" s="539">
        <f t="shared" si="10"/>
        <v>0.000225952535261235</v>
      </c>
      <c r="H174" s="540">
        <f t="shared" si="11"/>
        <v>0.995096304573716</v>
      </c>
      <c r="I174" s="556"/>
      <c r="L174" s="551">
        <f t="shared" si="9"/>
        <v>776534.77</v>
      </c>
      <c r="M174" s="551">
        <v>777431.12</v>
      </c>
    </row>
    <row r="175" ht="30" spans="1:13">
      <c r="A175" s="543">
        <v>93660</v>
      </c>
      <c r="B175" s="544" t="s">
        <v>603</v>
      </c>
      <c r="C175" s="545" t="s">
        <v>20</v>
      </c>
      <c r="D175" s="546">
        <v>4</v>
      </c>
      <c r="E175" s="547">
        <v>38.99</v>
      </c>
      <c r="F175" s="547">
        <f t="shared" si="8"/>
        <v>155.96</v>
      </c>
      <c r="G175" s="539">
        <f t="shared" si="10"/>
        <v>0.000200840974577352</v>
      </c>
      <c r="H175" s="540">
        <f t="shared" si="11"/>
        <v>0.995297145548293</v>
      </c>
      <c r="I175" s="556"/>
      <c r="L175" s="551">
        <f t="shared" si="9"/>
        <v>776534.77</v>
      </c>
      <c r="M175" s="551">
        <v>777431.12</v>
      </c>
    </row>
    <row r="176" spans="1:13">
      <c r="A176" s="543" t="s">
        <v>396</v>
      </c>
      <c r="B176" s="544" t="s">
        <v>398</v>
      </c>
      <c r="C176" s="545" t="s">
        <v>20</v>
      </c>
      <c r="D176" s="546">
        <v>1</v>
      </c>
      <c r="E176" s="547">
        <v>150.08</v>
      </c>
      <c r="F176" s="547">
        <f t="shared" si="8"/>
        <v>150.08</v>
      </c>
      <c r="G176" s="539">
        <f t="shared" si="10"/>
        <v>0.000193268873201904</v>
      </c>
      <c r="H176" s="540">
        <f t="shared" si="11"/>
        <v>0.995490414421495</v>
      </c>
      <c r="I176" s="556"/>
      <c r="L176" s="551">
        <f t="shared" si="9"/>
        <v>776534.77</v>
      </c>
      <c r="M176" s="551">
        <v>777431.12</v>
      </c>
    </row>
    <row r="177" ht="45" spans="1:13">
      <c r="A177" s="543">
        <v>92982</v>
      </c>
      <c r="B177" s="544" t="s">
        <v>580</v>
      </c>
      <c r="C177" s="545" t="s">
        <v>95</v>
      </c>
      <c r="D177" s="546">
        <v>21</v>
      </c>
      <c r="E177" s="547">
        <v>7.02</v>
      </c>
      <c r="F177" s="547">
        <f t="shared" si="8"/>
        <v>147.42</v>
      </c>
      <c r="G177" s="539">
        <f t="shared" si="10"/>
        <v>0.000189843398770154</v>
      </c>
      <c r="H177" s="540">
        <f t="shared" si="11"/>
        <v>0.995680257820265</v>
      </c>
      <c r="I177" s="556"/>
      <c r="L177" s="551">
        <f t="shared" si="9"/>
        <v>776534.77</v>
      </c>
      <c r="M177" s="551">
        <v>777431.12</v>
      </c>
    </row>
    <row r="178" ht="45" spans="1:13">
      <c r="A178" s="543">
        <v>92005</v>
      </c>
      <c r="B178" s="544" t="s">
        <v>527</v>
      </c>
      <c r="C178" s="545" t="s">
        <v>20</v>
      </c>
      <c r="D178" s="546">
        <v>4</v>
      </c>
      <c r="E178" s="547">
        <v>35.32</v>
      </c>
      <c r="F178" s="547">
        <f t="shared" si="8"/>
        <v>141.28</v>
      </c>
      <c r="G178" s="539">
        <f t="shared" si="10"/>
        <v>0.000181936476585588</v>
      </c>
      <c r="H178" s="540">
        <f t="shared" si="11"/>
        <v>0.995862194296851</v>
      </c>
      <c r="I178" s="556"/>
      <c r="L178" s="551">
        <f t="shared" si="9"/>
        <v>776534.77</v>
      </c>
      <c r="M178" s="551">
        <v>777431.12</v>
      </c>
    </row>
    <row r="179" ht="45" spans="1:13">
      <c r="A179" s="543">
        <v>91868</v>
      </c>
      <c r="B179" s="544" t="s">
        <v>552</v>
      </c>
      <c r="C179" s="545" t="s">
        <v>95</v>
      </c>
      <c r="D179" s="546">
        <v>18.14</v>
      </c>
      <c r="E179" s="547">
        <v>7.68</v>
      </c>
      <c r="F179" s="547">
        <f t="shared" si="8"/>
        <v>139.32</v>
      </c>
      <c r="G179" s="539">
        <f t="shared" si="10"/>
        <v>0.000179412442793772</v>
      </c>
      <c r="H179" s="540">
        <f t="shared" si="11"/>
        <v>0.996041606739645</v>
      </c>
      <c r="I179" s="556"/>
      <c r="L179" s="551">
        <f t="shared" si="9"/>
        <v>776534.77</v>
      </c>
      <c r="M179" s="551">
        <v>777431.12</v>
      </c>
    </row>
    <row r="180" spans="1:13">
      <c r="A180" s="543">
        <v>87879</v>
      </c>
      <c r="B180" s="544" t="s">
        <v>473</v>
      </c>
      <c r="C180" s="545" t="s">
        <v>17</v>
      </c>
      <c r="D180" s="546">
        <v>45.18</v>
      </c>
      <c r="E180" s="547">
        <v>3.05</v>
      </c>
      <c r="F180" s="547">
        <f t="shared" si="8"/>
        <v>137.8</v>
      </c>
      <c r="G180" s="539">
        <f t="shared" si="10"/>
        <v>0.000177455028832772</v>
      </c>
      <c r="H180" s="540">
        <f t="shared" si="11"/>
        <v>0.996219061768478</v>
      </c>
      <c r="I180" s="556"/>
      <c r="L180" s="551">
        <f t="shared" si="9"/>
        <v>776534.77</v>
      </c>
      <c r="M180" s="551">
        <v>777431.12</v>
      </c>
    </row>
    <row r="181" ht="45" spans="1:13">
      <c r="A181" s="548" t="s">
        <v>792</v>
      </c>
      <c r="B181" s="544" t="s">
        <v>641</v>
      </c>
      <c r="C181" s="545" t="s">
        <v>20</v>
      </c>
      <c r="D181" s="546">
        <v>5</v>
      </c>
      <c r="E181" s="547">
        <v>27.03</v>
      </c>
      <c r="F181" s="547">
        <f t="shared" si="8"/>
        <v>135.15</v>
      </c>
      <c r="G181" s="539">
        <f t="shared" si="10"/>
        <v>0.000174042432124449</v>
      </c>
      <c r="H181" s="540">
        <f t="shared" si="11"/>
        <v>0.996393104200602</v>
      </c>
      <c r="I181" s="556"/>
      <c r="L181" s="551">
        <f t="shared" si="9"/>
        <v>776534.77</v>
      </c>
      <c r="M181" s="551">
        <v>777431.12</v>
      </c>
    </row>
    <row r="182" ht="30" spans="1:13">
      <c r="A182" s="543" t="s">
        <v>387</v>
      </c>
      <c r="B182" s="544" t="s">
        <v>389</v>
      </c>
      <c r="C182" s="545" t="s">
        <v>95</v>
      </c>
      <c r="D182" s="546">
        <v>4.89</v>
      </c>
      <c r="E182" s="547">
        <v>27.54</v>
      </c>
      <c r="F182" s="547">
        <f t="shared" si="8"/>
        <v>134.67</v>
      </c>
      <c r="G182" s="539">
        <f t="shared" si="10"/>
        <v>0.000173424301399923</v>
      </c>
      <c r="H182" s="540">
        <f t="shared" si="11"/>
        <v>0.996566528502002</v>
      </c>
      <c r="I182" s="556"/>
      <c r="L182" s="551">
        <f t="shared" si="9"/>
        <v>776534.77</v>
      </c>
      <c r="M182" s="551">
        <v>777431.12</v>
      </c>
    </row>
    <row r="183" ht="45" spans="1:13">
      <c r="A183" s="548" t="s">
        <v>793</v>
      </c>
      <c r="B183" s="544" t="s">
        <v>639</v>
      </c>
      <c r="C183" s="545" t="s">
        <v>20</v>
      </c>
      <c r="D183" s="546">
        <v>4</v>
      </c>
      <c r="E183" s="547">
        <v>33.37</v>
      </c>
      <c r="F183" s="547">
        <f t="shared" si="8"/>
        <v>133.48</v>
      </c>
      <c r="G183" s="539">
        <f t="shared" si="10"/>
        <v>0.000171891852312035</v>
      </c>
      <c r="H183" s="540">
        <f t="shared" si="11"/>
        <v>0.996738420354314</v>
      </c>
      <c r="I183" s="556"/>
      <c r="L183" s="551">
        <f t="shared" si="9"/>
        <v>776534.77</v>
      </c>
      <c r="M183" s="551">
        <v>777431.12</v>
      </c>
    </row>
    <row r="184" spans="1:13">
      <c r="A184" s="543">
        <v>89707</v>
      </c>
      <c r="B184" s="544" t="s">
        <v>395</v>
      </c>
      <c r="C184" s="545" t="s">
        <v>20</v>
      </c>
      <c r="D184" s="546">
        <v>7</v>
      </c>
      <c r="E184" s="547">
        <v>17.23</v>
      </c>
      <c r="F184" s="547">
        <f t="shared" si="8"/>
        <v>120.61</v>
      </c>
      <c r="G184" s="539">
        <f t="shared" si="10"/>
        <v>0.000155318222260672</v>
      </c>
      <c r="H184" s="540">
        <f t="shared" si="11"/>
        <v>0.996893738576575</v>
      </c>
      <c r="I184" s="556"/>
      <c r="L184" s="551">
        <f t="shared" si="9"/>
        <v>776534.77</v>
      </c>
      <c r="M184" s="551">
        <v>777431.12</v>
      </c>
    </row>
    <row r="185" ht="60" spans="1:13">
      <c r="A185" s="543">
        <v>83370</v>
      </c>
      <c r="B185" s="544" t="s">
        <v>658</v>
      </c>
      <c r="C185" s="545" t="s">
        <v>20</v>
      </c>
      <c r="D185" s="546">
        <v>1</v>
      </c>
      <c r="E185" s="547">
        <v>120.58</v>
      </c>
      <c r="F185" s="547">
        <f t="shared" si="8"/>
        <v>120.58</v>
      </c>
      <c r="G185" s="539">
        <f t="shared" si="10"/>
        <v>0.000155279589090389</v>
      </c>
      <c r="H185" s="540">
        <f t="shared" si="11"/>
        <v>0.997049018165665</v>
      </c>
      <c r="I185" s="556"/>
      <c r="L185" s="551">
        <f t="shared" si="9"/>
        <v>776534.77</v>
      </c>
      <c r="M185" s="551">
        <v>777431.12</v>
      </c>
    </row>
    <row r="186" ht="30" spans="1:13">
      <c r="A186" s="548" t="s">
        <v>791</v>
      </c>
      <c r="B186" s="544" t="s">
        <v>611</v>
      </c>
      <c r="C186" s="545" t="s">
        <v>20</v>
      </c>
      <c r="D186" s="546">
        <v>1</v>
      </c>
      <c r="E186" s="547">
        <v>119.1</v>
      </c>
      <c r="F186" s="547">
        <f t="shared" si="8"/>
        <v>119.1</v>
      </c>
      <c r="G186" s="539">
        <f t="shared" si="10"/>
        <v>0.0001533736860231</v>
      </c>
      <c r="H186" s="540">
        <f t="shared" si="11"/>
        <v>0.997202391851688</v>
      </c>
      <c r="I186" s="556"/>
      <c r="L186" s="551">
        <f t="shared" si="9"/>
        <v>776534.77</v>
      </c>
      <c r="M186" s="551">
        <v>777431.12</v>
      </c>
    </row>
    <row r="187" ht="30" spans="1:13">
      <c r="A187" s="548" t="s">
        <v>794</v>
      </c>
      <c r="B187" s="544" t="s">
        <v>647</v>
      </c>
      <c r="C187" s="545" t="s">
        <v>20</v>
      </c>
      <c r="D187" s="546">
        <v>17</v>
      </c>
      <c r="E187" s="547">
        <v>6.58</v>
      </c>
      <c r="F187" s="547">
        <f t="shared" si="8"/>
        <v>111.86</v>
      </c>
      <c r="G187" s="539">
        <f t="shared" si="10"/>
        <v>0.000144050214261494</v>
      </c>
      <c r="H187" s="540">
        <f t="shared" si="11"/>
        <v>0.997346442065949</v>
      </c>
      <c r="I187" s="556"/>
      <c r="L187" s="551">
        <f t="shared" si="9"/>
        <v>776534.77</v>
      </c>
      <c r="M187" s="551">
        <v>777431.12</v>
      </c>
    </row>
    <row r="188" ht="30" spans="1:13">
      <c r="A188" s="543">
        <v>93671</v>
      </c>
      <c r="B188" s="544" t="s">
        <v>609</v>
      </c>
      <c r="C188" s="545" t="s">
        <v>20</v>
      </c>
      <c r="D188" s="546">
        <v>2</v>
      </c>
      <c r="E188" s="547">
        <v>54.98</v>
      </c>
      <c r="F188" s="547">
        <f t="shared" si="8"/>
        <v>109.96</v>
      </c>
      <c r="G188" s="539">
        <f t="shared" si="10"/>
        <v>0.000141603446810244</v>
      </c>
      <c r="H188" s="540">
        <f t="shared" si="11"/>
        <v>0.99748804551276</v>
      </c>
      <c r="I188" s="556"/>
      <c r="L188" s="551">
        <f t="shared" si="9"/>
        <v>776534.77</v>
      </c>
      <c r="M188" s="551">
        <v>777431.12</v>
      </c>
    </row>
    <row r="189" ht="30" spans="1:13">
      <c r="A189" s="543" t="s">
        <v>381</v>
      </c>
      <c r="B189" s="544" t="s">
        <v>383</v>
      </c>
      <c r="C189" s="545" t="s">
        <v>95</v>
      </c>
      <c r="D189" s="546">
        <v>8.18</v>
      </c>
      <c r="E189" s="547">
        <v>12.93</v>
      </c>
      <c r="F189" s="547">
        <f t="shared" si="8"/>
        <v>105.77</v>
      </c>
      <c r="G189" s="539">
        <f t="shared" si="10"/>
        <v>0.000136207680694066</v>
      </c>
      <c r="H189" s="540">
        <f t="shared" si="11"/>
        <v>0.997624253193454</v>
      </c>
      <c r="I189" s="556"/>
      <c r="L189" s="551">
        <f t="shared" si="9"/>
        <v>776534.77</v>
      </c>
      <c r="M189" s="551">
        <v>777431.12</v>
      </c>
    </row>
    <row r="190" ht="30" spans="1:13">
      <c r="A190" s="543">
        <v>93671</v>
      </c>
      <c r="B190" s="544" t="s">
        <v>607</v>
      </c>
      <c r="C190" s="545" t="s">
        <v>20</v>
      </c>
      <c r="D190" s="546">
        <v>2</v>
      </c>
      <c r="E190" s="547">
        <v>52.16</v>
      </c>
      <c r="F190" s="547">
        <f t="shared" si="8"/>
        <v>104.32</v>
      </c>
      <c r="G190" s="539">
        <f t="shared" si="10"/>
        <v>0.000134340410797059</v>
      </c>
      <c r="H190" s="540">
        <f t="shared" si="11"/>
        <v>0.997758593604251</v>
      </c>
      <c r="I190" s="556"/>
      <c r="L190" s="551">
        <f t="shared" si="9"/>
        <v>776534.77</v>
      </c>
      <c r="M190" s="551">
        <v>777431.12</v>
      </c>
    </row>
    <row r="191" spans="1:13">
      <c r="A191" s="543" t="s">
        <v>350</v>
      </c>
      <c r="B191" s="544" t="s">
        <v>352</v>
      </c>
      <c r="C191" s="545" t="s">
        <v>95</v>
      </c>
      <c r="D191" s="546">
        <v>6.17</v>
      </c>
      <c r="E191" s="547">
        <v>14.93</v>
      </c>
      <c r="F191" s="547">
        <f t="shared" si="8"/>
        <v>92.12</v>
      </c>
      <c r="G191" s="539">
        <f t="shared" si="10"/>
        <v>0.000118629588215348</v>
      </c>
      <c r="H191" s="540">
        <f t="shared" si="11"/>
        <v>0.997877223192466</v>
      </c>
      <c r="I191" s="556"/>
      <c r="L191" s="551">
        <f t="shared" si="9"/>
        <v>776534.77</v>
      </c>
      <c r="M191" s="551">
        <v>777431.12</v>
      </c>
    </row>
    <row r="192" spans="1:13">
      <c r="A192" s="543">
        <v>11708</v>
      </c>
      <c r="B192" s="544" t="s">
        <v>479</v>
      </c>
      <c r="C192" s="545" t="s">
        <v>20</v>
      </c>
      <c r="D192" s="546">
        <v>7</v>
      </c>
      <c r="E192" s="547">
        <v>13</v>
      </c>
      <c r="F192" s="547">
        <f t="shared" si="8"/>
        <v>91</v>
      </c>
      <c r="G192" s="539">
        <f t="shared" si="10"/>
        <v>0.000117187283191453</v>
      </c>
      <c r="H192" s="540">
        <f t="shared" si="11"/>
        <v>0.997994410475658</v>
      </c>
      <c r="I192" s="556"/>
      <c r="L192" s="551">
        <f t="shared" si="9"/>
        <v>776534.77</v>
      </c>
      <c r="M192" s="551">
        <v>777431.12</v>
      </c>
    </row>
    <row r="193" ht="45" spans="1:13">
      <c r="A193" s="543">
        <v>95745</v>
      </c>
      <c r="B193" s="544" t="s">
        <v>651</v>
      </c>
      <c r="C193" s="545" t="s">
        <v>95</v>
      </c>
      <c r="D193" s="546">
        <v>6.3</v>
      </c>
      <c r="E193" s="547">
        <v>14.39</v>
      </c>
      <c r="F193" s="547">
        <f t="shared" si="8"/>
        <v>90.66</v>
      </c>
      <c r="G193" s="539">
        <f t="shared" si="10"/>
        <v>0.000116749440594914</v>
      </c>
      <c r="H193" s="540">
        <f t="shared" si="11"/>
        <v>0.998111159916253</v>
      </c>
      <c r="I193" s="556"/>
      <c r="L193" s="551">
        <f t="shared" si="9"/>
        <v>776534.77</v>
      </c>
      <c r="M193" s="551">
        <v>777431.12</v>
      </c>
    </row>
    <row r="194" ht="30" spans="1:13">
      <c r="A194" s="543">
        <v>95634</v>
      </c>
      <c r="B194" s="544" t="s">
        <v>371</v>
      </c>
      <c r="C194" s="545" t="s">
        <v>20</v>
      </c>
      <c r="D194" s="546">
        <v>1</v>
      </c>
      <c r="E194" s="547">
        <v>89.76</v>
      </c>
      <c r="F194" s="547">
        <f t="shared" si="8"/>
        <v>89.76</v>
      </c>
      <c r="G194" s="539">
        <f t="shared" si="10"/>
        <v>0.000115590445486427</v>
      </c>
      <c r="H194" s="540">
        <f t="shared" si="11"/>
        <v>0.998226750361739</v>
      </c>
      <c r="I194" s="556"/>
      <c r="L194" s="551">
        <f t="shared" si="9"/>
        <v>776534.77</v>
      </c>
      <c r="M194" s="551">
        <v>777431.12</v>
      </c>
    </row>
    <row r="195" spans="1:13">
      <c r="A195" s="543" t="s">
        <v>376</v>
      </c>
      <c r="B195" s="544" t="s">
        <v>378</v>
      </c>
      <c r="C195" s="545" t="s">
        <v>20</v>
      </c>
      <c r="D195" s="546">
        <v>1</v>
      </c>
      <c r="E195" s="547">
        <v>76.9</v>
      </c>
      <c r="F195" s="547">
        <f t="shared" si="8"/>
        <v>76.9</v>
      </c>
      <c r="G195" s="539">
        <f t="shared" si="10"/>
        <v>9.90296931584918e-5</v>
      </c>
      <c r="H195" s="540">
        <f t="shared" si="11"/>
        <v>0.998325780054898</v>
      </c>
      <c r="I195" s="556"/>
      <c r="L195" s="551">
        <f t="shared" si="9"/>
        <v>776534.77</v>
      </c>
      <c r="M195" s="551">
        <v>777431.12</v>
      </c>
    </row>
    <row r="196" ht="45" spans="1:13">
      <c r="A196" s="548" t="s">
        <v>795</v>
      </c>
      <c r="B196" s="544" t="s">
        <v>653</v>
      </c>
      <c r="C196" s="545" t="s">
        <v>95</v>
      </c>
      <c r="D196" s="546">
        <v>4</v>
      </c>
      <c r="E196" s="547">
        <v>18.59</v>
      </c>
      <c r="F196" s="547">
        <f t="shared" si="8"/>
        <v>74.36</v>
      </c>
      <c r="G196" s="539">
        <f t="shared" si="10"/>
        <v>9.57587514078732e-5</v>
      </c>
      <c r="H196" s="540">
        <f t="shared" si="11"/>
        <v>0.998421538806305</v>
      </c>
      <c r="I196" s="556"/>
      <c r="L196" s="551">
        <f t="shared" si="9"/>
        <v>776534.77</v>
      </c>
      <c r="M196" s="551">
        <v>777431.12</v>
      </c>
    </row>
    <row r="197" spans="1:13">
      <c r="A197" s="543">
        <v>94207</v>
      </c>
      <c r="B197" s="544" t="s">
        <v>688</v>
      </c>
      <c r="C197" s="545" t="s">
        <v>17</v>
      </c>
      <c r="D197" s="546">
        <v>2.25</v>
      </c>
      <c r="E197" s="547">
        <v>30.8</v>
      </c>
      <c r="F197" s="547">
        <f t="shared" si="8"/>
        <v>69.3</v>
      </c>
      <c r="G197" s="539">
        <f t="shared" si="10"/>
        <v>8.92426233534913e-5</v>
      </c>
      <c r="H197" s="540">
        <f t="shared" si="11"/>
        <v>0.998510781429659</v>
      </c>
      <c r="I197" s="556"/>
      <c r="L197" s="551">
        <f t="shared" si="9"/>
        <v>776534.77</v>
      </c>
      <c r="M197" s="551">
        <v>777431.12</v>
      </c>
    </row>
    <row r="198" ht="45" spans="1:13">
      <c r="A198" s="543">
        <v>91961</v>
      </c>
      <c r="B198" s="544" t="s">
        <v>535</v>
      </c>
      <c r="C198" s="545" t="s">
        <v>20</v>
      </c>
      <c r="D198" s="546">
        <v>2</v>
      </c>
      <c r="E198" s="547">
        <v>34.14</v>
      </c>
      <c r="F198" s="547">
        <f t="shared" si="8"/>
        <v>68.28</v>
      </c>
      <c r="G198" s="539">
        <f t="shared" si="10"/>
        <v>8.79290955638728e-5</v>
      </c>
      <c r="H198" s="540">
        <f t="shared" si="11"/>
        <v>0.998598710525223</v>
      </c>
      <c r="I198" s="556"/>
      <c r="L198" s="551">
        <f t="shared" si="9"/>
        <v>776534.77</v>
      </c>
      <c r="M198" s="551">
        <v>777431.12</v>
      </c>
    </row>
    <row r="199" ht="30" spans="1:13">
      <c r="A199" s="543">
        <v>86910</v>
      </c>
      <c r="B199" s="544" t="s">
        <v>462</v>
      </c>
      <c r="C199" s="545" t="s">
        <v>20</v>
      </c>
      <c r="D199" s="546">
        <v>1</v>
      </c>
      <c r="E199" s="547">
        <v>63.29</v>
      </c>
      <c r="F199" s="547">
        <f t="shared" si="8"/>
        <v>63.29</v>
      </c>
      <c r="G199" s="539">
        <f t="shared" si="10"/>
        <v>8.15031115734843e-5</v>
      </c>
      <c r="H199" s="540">
        <f t="shared" si="11"/>
        <v>0.998680213636796</v>
      </c>
      <c r="I199" s="556"/>
      <c r="L199" s="551">
        <f t="shared" si="9"/>
        <v>776534.77</v>
      </c>
      <c r="M199" s="551">
        <v>777431.12</v>
      </c>
    </row>
    <row r="200" ht="30" spans="1:13">
      <c r="A200" s="543">
        <v>93654</v>
      </c>
      <c r="B200" s="544" t="s">
        <v>599</v>
      </c>
      <c r="C200" s="545" t="s">
        <v>20</v>
      </c>
      <c r="D200" s="546">
        <v>7</v>
      </c>
      <c r="E200" s="547">
        <v>8.25</v>
      </c>
      <c r="F200" s="547">
        <f t="shared" ref="F200:F234" si="12">ROUND(D200*E200,2)</f>
        <v>57.75</v>
      </c>
      <c r="G200" s="539">
        <f t="shared" si="10"/>
        <v>7.43688527945761e-5</v>
      </c>
      <c r="H200" s="540">
        <f t="shared" si="11"/>
        <v>0.998754582489591</v>
      </c>
      <c r="I200" s="556"/>
      <c r="L200" s="551">
        <f t="shared" ref="L200:L234" si="13">SUM($F$8:$F$310)</f>
        <v>776534.77</v>
      </c>
      <c r="M200" s="551">
        <v>777431.12</v>
      </c>
    </row>
    <row r="201" spans="1:13">
      <c r="A201" s="543" t="s">
        <v>403</v>
      </c>
      <c r="B201" s="544" t="s">
        <v>405</v>
      </c>
      <c r="C201" s="545" t="s">
        <v>20</v>
      </c>
      <c r="D201" s="546">
        <v>6</v>
      </c>
      <c r="E201" s="547">
        <v>9.56</v>
      </c>
      <c r="F201" s="547">
        <f t="shared" si="12"/>
        <v>57.36</v>
      </c>
      <c r="G201" s="539">
        <f t="shared" ref="G201:G234" si="14">F201/$L$7</f>
        <v>7.38666215808984e-5</v>
      </c>
      <c r="H201" s="540">
        <f t="shared" si="11"/>
        <v>0.998828449111172</v>
      </c>
      <c r="I201" s="556"/>
      <c r="L201" s="551">
        <f t="shared" si="13"/>
        <v>776534.77</v>
      </c>
      <c r="M201" s="551">
        <v>777431.12</v>
      </c>
    </row>
    <row r="202" ht="45" spans="1:13">
      <c r="A202" s="548" t="s">
        <v>796</v>
      </c>
      <c r="B202" s="544" t="s">
        <v>635</v>
      </c>
      <c r="C202" s="545" t="s">
        <v>95</v>
      </c>
      <c r="D202" s="546">
        <v>5</v>
      </c>
      <c r="E202" s="547">
        <v>10.47</v>
      </c>
      <c r="F202" s="547">
        <f t="shared" si="12"/>
        <v>52.35</v>
      </c>
      <c r="G202" s="539">
        <f t="shared" si="14"/>
        <v>6.74148821436547e-5</v>
      </c>
      <c r="H202" s="540">
        <f t="shared" ref="H202:H234" si="15">H201+G202</f>
        <v>0.998895863993316</v>
      </c>
      <c r="I202" s="556"/>
      <c r="L202" s="551">
        <f t="shared" si="13"/>
        <v>776534.77</v>
      </c>
      <c r="M202" s="551">
        <v>777431.12</v>
      </c>
    </row>
    <row r="203" spans="1:13">
      <c r="A203" s="543" t="s">
        <v>428</v>
      </c>
      <c r="B203" s="544" t="s">
        <v>430</v>
      </c>
      <c r="C203" s="545" t="s">
        <v>20</v>
      </c>
      <c r="D203" s="546">
        <v>6</v>
      </c>
      <c r="E203" s="547">
        <v>8.72</v>
      </c>
      <c r="F203" s="547">
        <f t="shared" si="12"/>
        <v>52.32</v>
      </c>
      <c r="G203" s="539">
        <f t="shared" si="14"/>
        <v>6.73762489733718e-5</v>
      </c>
      <c r="H203" s="540">
        <f t="shared" si="15"/>
        <v>0.998963240242289</v>
      </c>
      <c r="I203" s="556"/>
      <c r="L203" s="551">
        <f t="shared" si="13"/>
        <v>776534.77</v>
      </c>
      <c r="M203" s="551">
        <v>777431.12</v>
      </c>
    </row>
    <row r="204" spans="1:13">
      <c r="A204" s="543">
        <v>366</v>
      </c>
      <c r="B204" s="544" t="s">
        <v>469</v>
      </c>
      <c r="C204" s="545" t="s">
        <v>23</v>
      </c>
      <c r="D204" s="546">
        <v>1.32</v>
      </c>
      <c r="E204" s="547">
        <v>37.17</v>
      </c>
      <c r="F204" s="547">
        <f t="shared" si="12"/>
        <v>49.06</v>
      </c>
      <c r="G204" s="539">
        <f t="shared" si="14"/>
        <v>6.31781111359637e-5</v>
      </c>
      <c r="H204" s="540">
        <f t="shared" si="15"/>
        <v>0.999026418353425</v>
      </c>
      <c r="I204" s="556"/>
      <c r="L204" s="551">
        <f t="shared" si="13"/>
        <v>776534.77</v>
      </c>
      <c r="M204" s="551">
        <v>777431.12</v>
      </c>
    </row>
    <row r="205" ht="30" spans="1:13">
      <c r="A205" s="543">
        <v>93653</v>
      </c>
      <c r="B205" s="544" t="s">
        <v>597</v>
      </c>
      <c r="C205" s="545" t="s">
        <v>20</v>
      </c>
      <c r="D205" s="546">
        <v>6</v>
      </c>
      <c r="E205" s="547">
        <v>7.8</v>
      </c>
      <c r="F205" s="547">
        <f t="shared" si="12"/>
        <v>46.8</v>
      </c>
      <c r="G205" s="539">
        <f t="shared" si="14"/>
        <v>6.02677456413188e-5</v>
      </c>
      <c r="H205" s="540">
        <f t="shared" si="15"/>
        <v>0.999086686099066</v>
      </c>
      <c r="I205" s="556"/>
      <c r="L205" s="551">
        <f t="shared" si="13"/>
        <v>776534.77</v>
      </c>
      <c r="M205" s="551">
        <v>777431.12</v>
      </c>
    </row>
    <row r="206" ht="30" spans="1:13">
      <c r="A206" s="548" t="s">
        <v>797</v>
      </c>
      <c r="B206" s="544" t="s">
        <v>630</v>
      </c>
      <c r="C206" s="545" t="s">
        <v>20</v>
      </c>
      <c r="D206" s="546">
        <v>2</v>
      </c>
      <c r="E206" s="547">
        <v>21.38</v>
      </c>
      <c r="F206" s="547">
        <f t="shared" si="12"/>
        <v>42.76</v>
      </c>
      <c r="G206" s="539">
        <f t="shared" si="14"/>
        <v>5.50651453765554e-5</v>
      </c>
      <c r="H206" s="540">
        <f t="shared" si="15"/>
        <v>0.999141751244443</v>
      </c>
      <c r="I206" s="556"/>
      <c r="L206" s="551">
        <f t="shared" si="13"/>
        <v>776534.77</v>
      </c>
      <c r="M206" s="551">
        <v>777431.12</v>
      </c>
    </row>
    <row r="207" ht="60" spans="1:13">
      <c r="A207" s="548" t="s">
        <v>798</v>
      </c>
      <c r="B207" s="544" t="s">
        <v>587</v>
      </c>
      <c r="C207" s="545" t="s">
        <v>95</v>
      </c>
      <c r="D207" s="546">
        <v>11</v>
      </c>
      <c r="E207" s="547">
        <v>3.82</v>
      </c>
      <c r="F207" s="547">
        <f t="shared" si="12"/>
        <v>42.02</v>
      </c>
      <c r="G207" s="539">
        <f t="shared" si="14"/>
        <v>5.41121938429106e-5</v>
      </c>
      <c r="H207" s="540">
        <f t="shared" si="15"/>
        <v>0.999195863438286</v>
      </c>
      <c r="I207" s="556"/>
      <c r="L207" s="551">
        <f t="shared" si="13"/>
        <v>776534.77</v>
      </c>
      <c r="M207" s="551">
        <v>777431.12</v>
      </c>
    </row>
    <row r="208" spans="1:13">
      <c r="A208" s="543">
        <v>83443</v>
      </c>
      <c r="B208" s="544" t="s">
        <v>569</v>
      </c>
      <c r="C208" s="545" t="s">
        <v>20</v>
      </c>
      <c r="D208" s="546">
        <v>1</v>
      </c>
      <c r="E208" s="547">
        <v>41.53</v>
      </c>
      <c r="F208" s="547">
        <f t="shared" si="12"/>
        <v>41.53</v>
      </c>
      <c r="G208" s="539">
        <f t="shared" si="14"/>
        <v>5.34811853949566e-5</v>
      </c>
      <c r="H208" s="540">
        <f t="shared" si="15"/>
        <v>0.999249344623681</v>
      </c>
      <c r="I208" s="556"/>
      <c r="L208" s="551">
        <f t="shared" si="13"/>
        <v>776534.77</v>
      </c>
      <c r="M208" s="551">
        <v>777431.12</v>
      </c>
    </row>
    <row r="209" spans="1:13">
      <c r="A209" s="543">
        <v>89446</v>
      </c>
      <c r="B209" s="544" t="s">
        <v>352</v>
      </c>
      <c r="C209" s="545" t="s">
        <v>95</v>
      </c>
      <c r="D209" s="546">
        <v>15.6</v>
      </c>
      <c r="E209" s="547">
        <v>2.64</v>
      </c>
      <c r="F209" s="547">
        <f t="shared" si="12"/>
        <v>41.18</v>
      </c>
      <c r="G209" s="539">
        <f t="shared" si="14"/>
        <v>5.30304650749895e-5</v>
      </c>
      <c r="H209" s="540">
        <f t="shared" si="15"/>
        <v>0.999302375088756</v>
      </c>
      <c r="I209" s="556"/>
      <c r="L209" s="551">
        <f t="shared" si="13"/>
        <v>776534.77</v>
      </c>
      <c r="M209" s="551">
        <v>777431.12</v>
      </c>
    </row>
    <row r="210" ht="45" spans="1:13">
      <c r="A210" s="543">
        <v>91996</v>
      </c>
      <c r="B210" s="544" t="s">
        <v>523</v>
      </c>
      <c r="C210" s="545" t="s">
        <v>20</v>
      </c>
      <c r="D210" s="546">
        <v>2</v>
      </c>
      <c r="E210" s="547">
        <v>19.91</v>
      </c>
      <c r="F210" s="547">
        <f t="shared" si="12"/>
        <v>39.82</v>
      </c>
      <c r="G210" s="539">
        <f t="shared" si="14"/>
        <v>5.12790946888315e-5</v>
      </c>
      <c r="H210" s="540">
        <f t="shared" si="15"/>
        <v>0.999353654183444</v>
      </c>
      <c r="I210" s="556"/>
      <c r="L210" s="551">
        <f t="shared" si="13"/>
        <v>776534.77</v>
      </c>
      <c r="M210" s="551">
        <v>777431.12</v>
      </c>
    </row>
    <row r="211" spans="1:13">
      <c r="A211" s="543" t="s">
        <v>418</v>
      </c>
      <c r="B211" s="544" t="s">
        <v>420</v>
      </c>
      <c r="C211" s="545" t="s">
        <v>20</v>
      </c>
      <c r="D211" s="546">
        <v>7</v>
      </c>
      <c r="E211" s="547">
        <v>5.14</v>
      </c>
      <c r="F211" s="547">
        <f t="shared" si="12"/>
        <v>35.98</v>
      </c>
      <c r="G211" s="539">
        <f t="shared" si="14"/>
        <v>4.63340488926207e-5</v>
      </c>
      <c r="H211" s="540">
        <f t="shared" si="15"/>
        <v>0.999399988232337</v>
      </c>
      <c r="I211" s="556"/>
      <c r="L211" s="551">
        <f t="shared" si="13"/>
        <v>776534.77</v>
      </c>
      <c r="M211" s="551">
        <v>777431.12</v>
      </c>
    </row>
    <row r="212" ht="45" spans="1:13">
      <c r="A212" s="543">
        <v>91967</v>
      </c>
      <c r="B212" s="544" t="s">
        <v>533</v>
      </c>
      <c r="C212" s="545" t="s">
        <v>20</v>
      </c>
      <c r="D212" s="546">
        <v>1</v>
      </c>
      <c r="E212" s="547">
        <v>35.67</v>
      </c>
      <c r="F212" s="547">
        <f t="shared" si="12"/>
        <v>35.67</v>
      </c>
      <c r="G212" s="539">
        <f t="shared" si="14"/>
        <v>4.59348394663641e-5</v>
      </c>
      <c r="H212" s="540">
        <f t="shared" si="15"/>
        <v>0.999445923071803</v>
      </c>
      <c r="I212" s="556"/>
      <c r="L212" s="551">
        <f t="shared" si="13"/>
        <v>776534.77</v>
      </c>
      <c r="M212" s="551">
        <v>777431.12</v>
      </c>
    </row>
    <row r="213" ht="30" spans="1:13">
      <c r="A213" s="548" t="s">
        <v>799</v>
      </c>
      <c r="B213" s="544" t="s">
        <v>645</v>
      </c>
      <c r="C213" s="545" t="s">
        <v>20</v>
      </c>
      <c r="D213" s="546">
        <v>5</v>
      </c>
      <c r="E213" s="547">
        <v>6.6</v>
      </c>
      <c r="F213" s="547">
        <f t="shared" si="12"/>
        <v>33</v>
      </c>
      <c r="G213" s="539">
        <f t="shared" si="14"/>
        <v>4.24964873111863e-5</v>
      </c>
      <c r="H213" s="540">
        <f t="shared" si="15"/>
        <v>0.999488419559114</v>
      </c>
      <c r="I213" s="556"/>
      <c r="L213" s="551">
        <f t="shared" si="13"/>
        <v>776534.77</v>
      </c>
      <c r="M213" s="551">
        <v>777431.12</v>
      </c>
    </row>
    <row r="214" ht="45" spans="1:13">
      <c r="A214" s="543">
        <v>84665</v>
      </c>
      <c r="B214" s="544" t="s">
        <v>495</v>
      </c>
      <c r="C214" s="545" t="s">
        <v>17</v>
      </c>
      <c r="D214" s="546">
        <v>2</v>
      </c>
      <c r="E214" s="547">
        <v>16.36</v>
      </c>
      <c r="F214" s="547">
        <f t="shared" si="12"/>
        <v>32.72</v>
      </c>
      <c r="G214" s="539">
        <f t="shared" si="14"/>
        <v>4.21359110552126e-5</v>
      </c>
      <c r="H214" s="540">
        <f t="shared" si="15"/>
        <v>0.99953055547017</v>
      </c>
      <c r="I214" s="556"/>
      <c r="L214" s="551">
        <f t="shared" si="13"/>
        <v>776534.77</v>
      </c>
      <c r="M214" s="551">
        <v>777431.12</v>
      </c>
    </row>
    <row r="215" ht="30" spans="1:13">
      <c r="A215" s="548" t="s">
        <v>800</v>
      </c>
      <c r="B215" s="544" t="s">
        <v>637</v>
      </c>
      <c r="C215" s="545" t="s">
        <v>20</v>
      </c>
      <c r="D215" s="546">
        <v>1</v>
      </c>
      <c r="E215" s="547">
        <v>31.08</v>
      </c>
      <c r="F215" s="547">
        <f t="shared" si="12"/>
        <v>31.08</v>
      </c>
      <c r="G215" s="539">
        <f t="shared" si="14"/>
        <v>4.00239644130809e-5</v>
      </c>
      <c r="H215" s="540">
        <f t="shared" si="15"/>
        <v>0.999570579434583</v>
      </c>
      <c r="I215" s="556"/>
      <c r="L215" s="551">
        <f t="shared" si="13"/>
        <v>776534.77</v>
      </c>
      <c r="M215" s="551">
        <v>777431.12</v>
      </c>
    </row>
    <row r="216" spans="1:13">
      <c r="A216" s="543">
        <v>89447</v>
      </c>
      <c r="B216" s="544" t="s">
        <v>355</v>
      </c>
      <c r="C216" s="545" t="s">
        <v>95</v>
      </c>
      <c r="D216" s="546">
        <v>5.15</v>
      </c>
      <c r="E216" s="547">
        <v>5.16</v>
      </c>
      <c r="F216" s="547">
        <f t="shared" si="12"/>
        <v>26.57</v>
      </c>
      <c r="G216" s="539">
        <f t="shared" si="14"/>
        <v>3.42161111472188e-5</v>
      </c>
      <c r="H216" s="540">
        <f t="shared" si="15"/>
        <v>0.99960479554573</v>
      </c>
      <c r="I216" s="556"/>
      <c r="L216" s="551">
        <f t="shared" si="13"/>
        <v>776534.77</v>
      </c>
      <c r="M216" s="551">
        <v>777431.12</v>
      </c>
    </row>
    <row r="217" ht="45" spans="1:13">
      <c r="A217" s="543">
        <v>91959</v>
      </c>
      <c r="B217" s="544" t="s">
        <v>531</v>
      </c>
      <c r="C217" s="545" t="s">
        <v>20</v>
      </c>
      <c r="D217" s="546">
        <v>1</v>
      </c>
      <c r="E217" s="547">
        <v>26.09</v>
      </c>
      <c r="F217" s="547">
        <f t="shared" si="12"/>
        <v>26.09</v>
      </c>
      <c r="G217" s="539">
        <f t="shared" si="14"/>
        <v>3.35979804226925e-5</v>
      </c>
      <c r="H217" s="540">
        <f t="shared" si="15"/>
        <v>0.999638393526153</v>
      </c>
      <c r="I217" s="556"/>
      <c r="L217" s="551">
        <f t="shared" si="13"/>
        <v>776534.77</v>
      </c>
      <c r="M217" s="551">
        <v>777431.12</v>
      </c>
    </row>
    <row r="218" ht="30" spans="1:13">
      <c r="A218" s="543" t="s">
        <v>496</v>
      </c>
      <c r="B218" s="544" t="s">
        <v>498</v>
      </c>
      <c r="C218" s="545" t="s">
        <v>20</v>
      </c>
      <c r="D218" s="546">
        <v>2</v>
      </c>
      <c r="E218" s="547">
        <v>11.95</v>
      </c>
      <c r="F218" s="547">
        <f t="shared" si="12"/>
        <v>23.9</v>
      </c>
      <c r="G218" s="539">
        <f t="shared" si="14"/>
        <v>3.0777758992041e-5</v>
      </c>
      <c r="H218" s="540">
        <f t="shared" si="15"/>
        <v>0.999669171285145</v>
      </c>
      <c r="I218" s="556"/>
      <c r="L218" s="551">
        <f t="shared" si="13"/>
        <v>776534.77</v>
      </c>
      <c r="M218" s="551">
        <v>777431.12</v>
      </c>
    </row>
    <row r="219" ht="45" spans="1:13">
      <c r="A219" s="548" t="s">
        <v>801</v>
      </c>
      <c r="B219" s="544" t="s">
        <v>622</v>
      </c>
      <c r="C219" s="545" t="s">
        <v>20</v>
      </c>
      <c r="D219" s="546">
        <v>1</v>
      </c>
      <c r="E219" s="547">
        <v>23.48</v>
      </c>
      <c r="F219" s="547">
        <f t="shared" si="12"/>
        <v>23.48</v>
      </c>
      <c r="G219" s="539">
        <f t="shared" si="14"/>
        <v>3.02368946080805e-5</v>
      </c>
      <c r="H219" s="540">
        <f t="shared" si="15"/>
        <v>0.999699408179753</v>
      </c>
      <c r="I219" s="556"/>
      <c r="L219" s="551">
        <f t="shared" si="13"/>
        <v>776534.77</v>
      </c>
      <c r="M219" s="551">
        <v>777431.12</v>
      </c>
    </row>
    <row r="220" ht="45" spans="1:13">
      <c r="A220" s="543">
        <v>91997</v>
      </c>
      <c r="B220" s="544" t="s">
        <v>525</v>
      </c>
      <c r="C220" s="545" t="s">
        <v>20</v>
      </c>
      <c r="D220" s="546">
        <v>1</v>
      </c>
      <c r="E220" s="547">
        <v>21.13</v>
      </c>
      <c r="F220" s="547">
        <f t="shared" si="12"/>
        <v>21.13</v>
      </c>
      <c r="G220" s="539">
        <f t="shared" si="14"/>
        <v>2.72106296025869e-5</v>
      </c>
      <c r="H220" s="540">
        <f t="shared" si="15"/>
        <v>0.999726618809355</v>
      </c>
      <c r="I220" s="556"/>
      <c r="L220" s="551">
        <f t="shared" si="13"/>
        <v>776534.77</v>
      </c>
      <c r="M220" s="551">
        <v>777431.12</v>
      </c>
    </row>
    <row r="221" spans="1:13">
      <c r="A221" s="543">
        <v>92544</v>
      </c>
      <c r="B221" s="544" t="s">
        <v>686</v>
      </c>
      <c r="C221" s="545" t="s">
        <v>17</v>
      </c>
      <c r="D221" s="546">
        <v>2.25</v>
      </c>
      <c r="E221" s="547">
        <v>9.38</v>
      </c>
      <c r="F221" s="547">
        <f t="shared" si="12"/>
        <v>21.11</v>
      </c>
      <c r="G221" s="539">
        <f t="shared" si="14"/>
        <v>2.71848741557316e-5</v>
      </c>
      <c r="H221" s="540">
        <f t="shared" si="15"/>
        <v>0.999753803683511</v>
      </c>
      <c r="I221" s="556"/>
      <c r="L221" s="551">
        <f t="shared" si="13"/>
        <v>776534.77</v>
      </c>
      <c r="M221" s="551">
        <v>777431.12</v>
      </c>
    </row>
    <row r="222" ht="30" spans="1:13">
      <c r="A222" s="543">
        <v>94795</v>
      </c>
      <c r="B222" s="544" t="s">
        <v>373</v>
      </c>
      <c r="C222" s="545" t="s">
        <v>20</v>
      </c>
      <c r="D222" s="546">
        <v>1</v>
      </c>
      <c r="E222" s="547">
        <v>21.1</v>
      </c>
      <c r="F222" s="547">
        <f t="shared" si="12"/>
        <v>21.1</v>
      </c>
      <c r="G222" s="539">
        <f t="shared" si="14"/>
        <v>2.7171996432304e-5</v>
      </c>
      <c r="H222" s="540">
        <f t="shared" si="15"/>
        <v>0.999780975679943</v>
      </c>
      <c r="I222" s="556"/>
      <c r="L222" s="551">
        <f t="shared" si="13"/>
        <v>776534.77</v>
      </c>
      <c r="M222" s="551">
        <v>777431.12</v>
      </c>
    </row>
    <row r="223" spans="1:13">
      <c r="A223" s="543" t="s">
        <v>415</v>
      </c>
      <c r="B223" s="544" t="s">
        <v>417</v>
      </c>
      <c r="C223" s="545" t="s">
        <v>20</v>
      </c>
      <c r="D223" s="546">
        <v>13</v>
      </c>
      <c r="E223" s="547">
        <v>1.54</v>
      </c>
      <c r="F223" s="547">
        <f t="shared" si="12"/>
        <v>20.02</v>
      </c>
      <c r="G223" s="539">
        <f t="shared" si="14"/>
        <v>2.57812023021197e-5</v>
      </c>
      <c r="H223" s="540">
        <f t="shared" si="15"/>
        <v>0.999806756882246</v>
      </c>
      <c r="I223" s="556"/>
      <c r="L223" s="551">
        <f t="shared" si="13"/>
        <v>776534.77</v>
      </c>
      <c r="M223" s="551">
        <v>777431.12</v>
      </c>
    </row>
    <row r="224" spans="1:13">
      <c r="A224" s="543" t="s">
        <v>353</v>
      </c>
      <c r="B224" s="544" t="s">
        <v>355</v>
      </c>
      <c r="C224" s="545" t="s">
        <v>95</v>
      </c>
      <c r="D224" s="546">
        <v>1.01</v>
      </c>
      <c r="E224" s="547">
        <v>19.81</v>
      </c>
      <c r="F224" s="547">
        <f t="shared" si="12"/>
        <v>20.01</v>
      </c>
      <c r="G224" s="539">
        <f t="shared" si="14"/>
        <v>2.57683245786921e-5</v>
      </c>
      <c r="H224" s="540">
        <f t="shared" si="15"/>
        <v>0.999832525206824</v>
      </c>
      <c r="I224" s="556"/>
      <c r="L224" s="551">
        <f t="shared" si="13"/>
        <v>776534.77</v>
      </c>
      <c r="M224" s="551">
        <v>777431.12</v>
      </c>
    </row>
    <row r="225" ht="30" spans="1:13">
      <c r="A225" s="548" t="s">
        <v>802</v>
      </c>
      <c r="B225" s="544" t="s">
        <v>698</v>
      </c>
      <c r="C225" s="545" t="s">
        <v>20</v>
      </c>
      <c r="D225" s="546">
        <v>1</v>
      </c>
      <c r="E225" s="547">
        <v>19.44</v>
      </c>
      <c r="F225" s="547">
        <f t="shared" si="12"/>
        <v>19.44</v>
      </c>
      <c r="G225" s="539">
        <f t="shared" si="14"/>
        <v>2.5034294343317e-5</v>
      </c>
      <c r="H225" s="540">
        <f t="shared" si="15"/>
        <v>0.999857559501168</v>
      </c>
      <c r="I225" s="556"/>
      <c r="L225" s="551">
        <f t="shared" si="13"/>
        <v>776534.77</v>
      </c>
      <c r="M225" s="551">
        <v>777431.12</v>
      </c>
    </row>
    <row r="226" ht="30" spans="1:13">
      <c r="A226" s="548" t="s">
        <v>803</v>
      </c>
      <c r="B226" s="544" t="s">
        <v>696</v>
      </c>
      <c r="C226" s="545" t="s">
        <v>20</v>
      </c>
      <c r="D226" s="546">
        <v>1</v>
      </c>
      <c r="E226" s="547">
        <v>19.31</v>
      </c>
      <c r="F226" s="547">
        <f t="shared" si="12"/>
        <v>19.31</v>
      </c>
      <c r="G226" s="539">
        <f t="shared" si="14"/>
        <v>2.48668839387578e-5</v>
      </c>
      <c r="H226" s="540">
        <f t="shared" si="15"/>
        <v>0.999882426385106</v>
      </c>
      <c r="I226" s="556"/>
      <c r="L226" s="551">
        <f t="shared" si="13"/>
        <v>776534.77</v>
      </c>
      <c r="M226" s="551">
        <v>777431.12</v>
      </c>
    </row>
    <row r="227" ht="30" spans="1:13">
      <c r="A227" s="543">
        <v>93043</v>
      </c>
      <c r="B227" s="544" t="s">
        <v>511</v>
      </c>
      <c r="C227" s="545" t="s">
        <v>20</v>
      </c>
      <c r="D227" s="546">
        <v>1</v>
      </c>
      <c r="E227" s="547">
        <v>18.9</v>
      </c>
      <c r="F227" s="547">
        <f t="shared" si="12"/>
        <v>18.9</v>
      </c>
      <c r="G227" s="539">
        <f t="shared" si="14"/>
        <v>2.43388972782249e-5</v>
      </c>
      <c r="H227" s="540">
        <f t="shared" si="15"/>
        <v>0.999906765282385</v>
      </c>
      <c r="I227" s="556"/>
      <c r="L227" s="551">
        <f t="shared" si="13"/>
        <v>776534.77</v>
      </c>
      <c r="M227" s="551">
        <v>777431.12</v>
      </c>
    </row>
    <row r="228" ht="30" spans="1:13">
      <c r="A228" s="548" t="s">
        <v>804</v>
      </c>
      <c r="B228" s="544" t="s">
        <v>643</v>
      </c>
      <c r="C228" s="545" t="s">
        <v>20</v>
      </c>
      <c r="D228" s="546">
        <v>1</v>
      </c>
      <c r="E228" s="547">
        <v>18.72</v>
      </c>
      <c r="F228" s="547">
        <f t="shared" si="12"/>
        <v>18.72</v>
      </c>
      <c r="G228" s="539">
        <f t="shared" si="14"/>
        <v>2.41070982565275e-5</v>
      </c>
      <c r="H228" s="540">
        <f t="shared" si="15"/>
        <v>0.999930872380641</v>
      </c>
      <c r="I228" s="556"/>
      <c r="L228" s="551">
        <f t="shared" si="13"/>
        <v>776534.77</v>
      </c>
      <c r="M228" s="551">
        <v>777431.12</v>
      </c>
    </row>
    <row r="229" ht="30" spans="1:13">
      <c r="A229" s="543">
        <v>93655</v>
      </c>
      <c r="B229" s="544" t="s">
        <v>601</v>
      </c>
      <c r="C229" s="545" t="s">
        <v>20</v>
      </c>
      <c r="D229" s="546">
        <v>2</v>
      </c>
      <c r="E229" s="547">
        <v>8.96</v>
      </c>
      <c r="F229" s="547">
        <f t="shared" si="12"/>
        <v>17.92</v>
      </c>
      <c r="G229" s="539">
        <f t="shared" si="14"/>
        <v>2.30768803823169e-5</v>
      </c>
      <c r="H229" s="540">
        <f t="shared" si="15"/>
        <v>0.999953949261023</v>
      </c>
      <c r="I229" s="556"/>
      <c r="L229" s="551">
        <f t="shared" si="13"/>
        <v>776534.77</v>
      </c>
      <c r="M229" s="551">
        <v>777431.12</v>
      </c>
    </row>
    <row r="230" spans="1:13">
      <c r="A230" s="543" t="s">
        <v>412</v>
      </c>
      <c r="B230" s="544" t="s">
        <v>414</v>
      </c>
      <c r="C230" s="545" t="s">
        <v>20</v>
      </c>
      <c r="D230" s="546">
        <v>8</v>
      </c>
      <c r="E230" s="547">
        <v>1.13</v>
      </c>
      <c r="F230" s="547">
        <f t="shared" si="12"/>
        <v>9.04</v>
      </c>
      <c r="G230" s="539">
        <f t="shared" si="14"/>
        <v>1.16414619785795e-5</v>
      </c>
      <c r="H230" s="540">
        <f t="shared" si="15"/>
        <v>0.999965590723002</v>
      </c>
      <c r="I230" s="556"/>
      <c r="L230" s="551">
        <f t="shared" si="13"/>
        <v>776534.77</v>
      </c>
      <c r="M230" s="551">
        <v>777431.12</v>
      </c>
    </row>
    <row r="231" spans="1:13">
      <c r="A231" s="543">
        <v>11656</v>
      </c>
      <c r="B231" s="544" t="s">
        <v>432</v>
      </c>
      <c r="C231" s="545" t="s">
        <v>20</v>
      </c>
      <c r="D231" s="546">
        <v>1</v>
      </c>
      <c r="E231" s="547">
        <v>8.98</v>
      </c>
      <c r="F231" s="547">
        <f t="shared" si="12"/>
        <v>8.98</v>
      </c>
      <c r="G231" s="539">
        <f t="shared" si="14"/>
        <v>1.15641956380137e-5</v>
      </c>
      <c r="H231" s="540">
        <f t="shared" si="15"/>
        <v>0.99997715491864</v>
      </c>
      <c r="I231" s="556"/>
      <c r="L231" s="551">
        <f t="shared" si="13"/>
        <v>776534.77</v>
      </c>
      <c r="M231" s="551">
        <v>777431.12</v>
      </c>
    </row>
    <row r="232" spans="1:13">
      <c r="A232" s="543" t="s">
        <v>409</v>
      </c>
      <c r="B232" s="544" t="s">
        <v>411</v>
      </c>
      <c r="C232" s="545" t="s">
        <v>20</v>
      </c>
      <c r="D232" s="546">
        <v>1</v>
      </c>
      <c r="E232" s="547">
        <v>7.23</v>
      </c>
      <c r="F232" s="547">
        <f t="shared" si="12"/>
        <v>7.23</v>
      </c>
      <c r="G232" s="539">
        <f t="shared" si="14"/>
        <v>9.3105940381781e-6</v>
      </c>
      <c r="H232" s="540">
        <f t="shared" si="15"/>
        <v>0.999986465512678</v>
      </c>
      <c r="I232" s="556"/>
      <c r="L232" s="551">
        <f t="shared" si="13"/>
        <v>776534.77</v>
      </c>
      <c r="M232" s="551">
        <v>777431.12</v>
      </c>
    </row>
    <row r="233" spans="1:13">
      <c r="A233" s="543" t="s">
        <v>406</v>
      </c>
      <c r="B233" s="544" t="s">
        <v>408</v>
      </c>
      <c r="C233" s="545" t="s">
        <v>20</v>
      </c>
      <c r="D233" s="546">
        <v>2</v>
      </c>
      <c r="E233" s="547">
        <v>3.3</v>
      </c>
      <c r="F233" s="547">
        <f t="shared" si="12"/>
        <v>6.6</v>
      </c>
      <c r="G233" s="539">
        <f t="shared" si="14"/>
        <v>8.49929746223727e-6</v>
      </c>
      <c r="H233" s="540">
        <f t="shared" si="15"/>
        <v>0.99999496481014</v>
      </c>
      <c r="I233" s="556"/>
      <c r="L233" s="551">
        <f t="shared" si="13"/>
        <v>776534.77</v>
      </c>
      <c r="M233" s="551">
        <v>777431.12</v>
      </c>
    </row>
    <row r="234" spans="1:13">
      <c r="A234" s="543" t="s">
        <v>424</v>
      </c>
      <c r="B234" s="544" t="s">
        <v>427</v>
      </c>
      <c r="C234" s="545" t="s">
        <v>20</v>
      </c>
      <c r="D234" s="546">
        <v>1</v>
      </c>
      <c r="E234" s="547">
        <v>3.91</v>
      </c>
      <c r="F234" s="547">
        <f t="shared" si="12"/>
        <v>3.91</v>
      </c>
      <c r="G234" s="539">
        <f t="shared" si="14"/>
        <v>5.0351898602042e-6</v>
      </c>
      <c r="H234" s="540">
        <f t="shared" si="15"/>
        <v>1</v>
      </c>
      <c r="I234" s="556"/>
      <c r="L234" s="551">
        <f t="shared" si="13"/>
        <v>776534.77</v>
      </c>
      <c r="M234" s="551">
        <v>777431.12</v>
      </c>
    </row>
    <row r="235" spans="7:13">
      <c r="G235" s="557"/>
      <c r="H235" s="558"/>
      <c r="L235" s="551"/>
      <c r="M235" s="551"/>
    </row>
    <row r="236" spans="7:13">
      <c r="G236" s="557"/>
      <c r="H236" s="558"/>
      <c r="L236" s="551"/>
      <c r="M236" s="551"/>
    </row>
    <row r="237" spans="7:13">
      <c r="G237" s="557"/>
      <c r="H237" s="558"/>
      <c r="L237" s="551"/>
      <c r="M237" s="551"/>
    </row>
    <row r="238" spans="7:13">
      <c r="G238" s="557"/>
      <c r="H238" s="558"/>
      <c r="L238" s="551"/>
      <c r="M238" s="551"/>
    </row>
    <row r="239" spans="7:13">
      <c r="G239" s="557"/>
      <c r="H239" s="558"/>
      <c r="L239" s="551"/>
      <c r="M239" s="551"/>
    </row>
    <row r="240" spans="7:13">
      <c r="G240" s="557"/>
      <c r="H240" s="558"/>
      <c r="L240" s="551"/>
      <c r="M240" s="551"/>
    </row>
    <row r="241" spans="7:13">
      <c r="G241" s="557"/>
      <c r="H241" s="558"/>
      <c r="L241" s="551"/>
      <c r="M241" s="551"/>
    </row>
    <row r="242" spans="7:13">
      <c r="G242" s="557"/>
      <c r="H242" s="558"/>
      <c r="L242" s="551"/>
      <c r="M242" s="551"/>
    </row>
    <row r="243" spans="7:13">
      <c r="G243" s="557"/>
      <c r="H243" s="558"/>
      <c r="L243" s="551"/>
      <c r="M243" s="551"/>
    </row>
    <row r="244" spans="7:13">
      <c r="G244" s="559"/>
      <c r="H244" s="558"/>
      <c r="L244" s="551"/>
      <c r="M244" s="551"/>
    </row>
    <row r="245" spans="7:13">
      <c r="G245" s="559"/>
      <c r="H245" s="558"/>
      <c r="L245" s="551"/>
      <c r="M245" s="551"/>
    </row>
    <row r="246" spans="7:13">
      <c r="G246" s="559"/>
      <c r="H246" s="558"/>
      <c r="L246" s="551"/>
      <c r="M246" s="551"/>
    </row>
    <row r="247" spans="7:13">
      <c r="G247" s="559"/>
      <c r="H247" s="558"/>
      <c r="L247" s="551"/>
      <c r="M247" s="551"/>
    </row>
    <row r="248" spans="7:13">
      <c r="G248" s="559"/>
      <c r="H248" s="558"/>
      <c r="L248" s="551"/>
      <c r="M248" s="551"/>
    </row>
    <row r="249" spans="7:13">
      <c r="G249" s="559"/>
      <c r="H249" s="558"/>
      <c r="L249" s="551"/>
      <c r="M249" s="551"/>
    </row>
    <row r="250" spans="7:13">
      <c r="G250" s="559"/>
      <c r="H250" s="558"/>
      <c r="L250" s="551"/>
      <c r="M250" s="551"/>
    </row>
    <row r="251" spans="7:13">
      <c r="G251" s="559"/>
      <c r="H251" s="558"/>
      <c r="L251" s="551"/>
      <c r="M251" s="551"/>
    </row>
    <row r="252" spans="7:13">
      <c r="G252" s="559"/>
      <c r="H252" s="558"/>
      <c r="L252" s="551"/>
      <c r="M252" s="551"/>
    </row>
    <row r="253" spans="7:13">
      <c r="G253" s="559"/>
      <c r="H253" s="558"/>
      <c r="L253" s="551"/>
      <c r="M253" s="551"/>
    </row>
    <row r="254" spans="7:13">
      <c r="G254" s="559"/>
      <c r="H254" s="558"/>
      <c r="L254" s="551"/>
      <c r="M254" s="551"/>
    </row>
    <row r="255" spans="7:13">
      <c r="G255" s="559"/>
      <c r="H255" s="558"/>
      <c r="L255" s="551"/>
      <c r="M255" s="551"/>
    </row>
    <row r="256" spans="7:13">
      <c r="G256" s="559"/>
      <c r="H256" s="558"/>
      <c r="L256" s="551"/>
      <c r="M256" s="551"/>
    </row>
    <row r="257" spans="7:13">
      <c r="G257" s="559"/>
      <c r="H257" s="558"/>
      <c r="L257" s="551"/>
      <c r="M257" s="551"/>
    </row>
    <row r="258" spans="7:13">
      <c r="G258" s="559"/>
      <c r="H258" s="558"/>
      <c r="L258" s="551"/>
      <c r="M258" s="551"/>
    </row>
    <row r="259" spans="7:13">
      <c r="G259" s="559"/>
      <c r="H259" s="558"/>
      <c r="L259" s="551"/>
      <c r="M259" s="551"/>
    </row>
    <row r="260" spans="7:13">
      <c r="G260" s="559"/>
      <c r="H260" s="558"/>
      <c r="L260" s="551"/>
      <c r="M260" s="551"/>
    </row>
    <row r="261" spans="7:13">
      <c r="G261" s="559"/>
      <c r="H261" s="558"/>
      <c r="L261" s="551"/>
      <c r="M261" s="551"/>
    </row>
    <row r="262" spans="7:13">
      <c r="G262" s="559"/>
      <c r="H262" s="558"/>
      <c r="L262" s="551"/>
      <c r="M262" s="551"/>
    </row>
    <row r="263" spans="7:13">
      <c r="G263" s="559"/>
      <c r="H263" s="558"/>
      <c r="L263" s="551"/>
      <c r="M263" s="551"/>
    </row>
    <row r="264" spans="7:13">
      <c r="G264" s="559"/>
      <c r="H264" s="558"/>
      <c r="L264" s="551"/>
      <c r="M264" s="551"/>
    </row>
    <row r="265" spans="7:13">
      <c r="G265" s="559"/>
      <c r="H265" s="558"/>
      <c r="L265" s="551"/>
      <c r="M265" s="551"/>
    </row>
    <row r="266" spans="7:13">
      <c r="G266" s="559"/>
      <c r="H266" s="558"/>
      <c r="L266" s="551"/>
      <c r="M266" s="551"/>
    </row>
    <row r="267" spans="7:13">
      <c r="G267" s="559"/>
      <c r="H267" s="558"/>
      <c r="L267" s="551"/>
      <c r="M267" s="551"/>
    </row>
    <row r="268" spans="7:13">
      <c r="G268" s="559"/>
      <c r="H268" s="558"/>
      <c r="L268" s="551"/>
      <c r="M268" s="551"/>
    </row>
    <row r="269" spans="7:13">
      <c r="G269" s="559"/>
      <c r="H269" s="558"/>
      <c r="L269" s="551"/>
      <c r="M269" s="551"/>
    </row>
    <row r="270" spans="7:13">
      <c r="G270" s="559"/>
      <c r="H270" s="558"/>
      <c r="L270" s="551"/>
      <c r="M270" s="551"/>
    </row>
    <row r="271" spans="7:13">
      <c r="G271" s="559"/>
      <c r="H271" s="558"/>
      <c r="L271" s="551"/>
      <c r="M271" s="551"/>
    </row>
    <row r="272" spans="7:13">
      <c r="G272" s="559"/>
      <c r="H272" s="558"/>
      <c r="L272" s="551"/>
      <c r="M272" s="551"/>
    </row>
    <row r="273" spans="7:13">
      <c r="G273" s="559"/>
      <c r="H273" s="558"/>
      <c r="L273" s="551"/>
      <c r="M273" s="551"/>
    </row>
    <row r="274" spans="7:13">
      <c r="G274" s="559"/>
      <c r="H274" s="558"/>
      <c r="L274" s="551"/>
      <c r="M274" s="551"/>
    </row>
    <row r="275" spans="7:13">
      <c r="G275" s="559"/>
      <c r="H275" s="558"/>
      <c r="L275" s="551"/>
      <c r="M275" s="551"/>
    </row>
    <row r="276" spans="7:13">
      <c r="G276" s="559"/>
      <c r="H276" s="558"/>
      <c r="L276" s="551"/>
      <c r="M276" s="551"/>
    </row>
    <row r="277" spans="7:13">
      <c r="G277" s="559"/>
      <c r="H277" s="558"/>
      <c r="L277" s="551"/>
      <c r="M277" s="551"/>
    </row>
    <row r="278" spans="7:13">
      <c r="G278" s="559"/>
      <c r="H278" s="558"/>
      <c r="L278" s="551"/>
      <c r="M278" s="551"/>
    </row>
    <row r="279" spans="7:13">
      <c r="G279" s="559"/>
      <c r="H279" s="558"/>
      <c r="L279" s="551"/>
      <c r="M279" s="551"/>
    </row>
    <row r="280" spans="7:13">
      <c r="G280" s="559"/>
      <c r="H280" s="558"/>
      <c r="L280" s="551"/>
      <c r="M280" s="551"/>
    </row>
    <row r="281" spans="7:13">
      <c r="G281" s="559"/>
      <c r="H281" s="558"/>
      <c r="L281" s="551"/>
      <c r="M281" s="551"/>
    </row>
    <row r="282" spans="7:13">
      <c r="G282" s="559"/>
      <c r="H282" s="558"/>
      <c r="L282" s="551"/>
      <c r="M282" s="551"/>
    </row>
    <row r="283" spans="7:13">
      <c r="G283" s="559"/>
      <c r="H283" s="558"/>
      <c r="L283" s="551"/>
      <c r="M283" s="551"/>
    </row>
    <row r="284" spans="7:13">
      <c r="G284" s="559"/>
      <c r="H284" s="558"/>
      <c r="L284" s="551"/>
      <c r="M284" s="551"/>
    </row>
    <row r="285" spans="7:13">
      <c r="G285" s="559"/>
      <c r="H285" s="558"/>
      <c r="L285" s="551"/>
      <c r="M285" s="551"/>
    </row>
    <row r="286" spans="7:13">
      <c r="G286" s="559"/>
      <c r="H286" s="558"/>
      <c r="L286" s="551"/>
      <c r="M286" s="551"/>
    </row>
    <row r="287" spans="7:13">
      <c r="G287" s="559"/>
      <c r="H287" s="558"/>
      <c r="L287" s="551"/>
      <c r="M287" s="551"/>
    </row>
    <row r="288" spans="7:13">
      <c r="G288" s="559"/>
      <c r="H288" s="558"/>
      <c r="L288" s="551"/>
      <c r="M288" s="551"/>
    </row>
    <row r="289" spans="7:13">
      <c r="G289" s="559"/>
      <c r="H289" s="558"/>
      <c r="L289" s="551"/>
      <c r="M289" s="551"/>
    </row>
    <row r="290" spans="7:13">
      <c r="G290" s="559"/>
      <c r="H290" s="558"/>
      <c r="L290" s="551"/>
      <c r="M290" s="551"/>
    </row>
    <row r="291" spans="7:13">
      <c r="G291" s="559"/>
      <c r="H291" s="558"/>
      <c r="L291" s="551"/>
      <c r="M291" s="551"/>
    </row>
    <row r="292" spans="7:13">
      <c r="G292" s="559"/>
      <c r="H292" s="558"/>
      <c r="L292" s="551"/>
      <c r="M292" s="551"/>
    </row>
    <row r="293" spans="7:13">
      <c r="G293" s="559"/>
      <c r="H293" s="558"/>
      <c r="L293" s="551"/>
      <c r="M293" s="551"/>
    </row>
    <row r="294" spans="7:13">
      <c r="G294" s="559"/>
      <c r="H294" s="558"/>
      <c r="L294" s="551"/>
      <c r="M294" s="551"/>
    </row>
    <row r="295" spans="7:13">
      <c r="G295" s="559"/>
      <c r="H295" s="558"/>
      <c r="L295" s="551"/>
      <c r="M295" s="551"/>
    </row>
    <row r="296" spans="7:13">
      <c r="G296" s="559"/>
      <c r="H296" s="558"/>
      <c r="L296" s="551"/>
      <c r="M296" s="551"/>
    </row>
    <row r="297" spans="7:13">
      <c r="G297" s="559"/>
      <c r="H297" s="558"/>
      <c r="L297" s="551"/>
      <c r="M297" s="551"/>
    </row>
    <row r="298" spans="7:13">
      <c r="G298" s="559"/>
      <c r="H298" s="558"/>
      <c r="L298" s="551"/>
      <c r="M298" s="551"/>
    </row>
    <row r="299" spans="7:13">
      <c r="G299" s="559"/>
      <c r="H299" s="558"/>
      <c r="L299" s="551"/>
      <c r="M299" s="551"/>
    </row>
    <row r="300" spans="7:13">
      <c r="G300" s="559"/>
      <c r="H300" s="558"/>
      <c r="L300" s="551"/>
      <c r="M300" s="551"/>
    </row>
    <row r="301" spans="7:13">
      <c r="G301" s="559"/>
      <c r="H301" s="558"/>
      <c r="L301" s="551"/>
      <c r="M301" s="551"/>
    </row>
    <row r="302" spans="7:13">
      <c r="G302" s="559"/>
      <c r="H302" s="558"/>
      <c r="L302" s="551"/>
      <c r="M302" s="551"/>
    </row>
    <row r="303" spans="7:13">
      <c r="G303" s="559"/>
      <c r="H303" s="558"/>
      <c r="L303" s="551"/>
      <c r="M303" s="551"/>
    </row>
    <row r="304" spans="7:13">
      <c r="G304" s="559"/>
      <c r="H304" s="558"/>
      <c r="L304" s="551"/>
      <c r="M304" s="551"/>
    </row>
    <row r="305" spans="7:13">
      <c r="G305" s="559"/>
      <c r="H305" s="558"/>
      <c r="L305" s="551"/>
      <c r="M305" s="551"/>
    </row>
    <row r="306" spans="7:13">
      <c r="G306" s="559"/>
      <c r="H306" s="558"/>
      <c r="L306" s="551"/>
      <c r="M306" s="551"/>
    </row>
    <row r="307" spans="7:13">
      <c r="G307" s="559"/>
      <c r="H307" s="558"/>
      <c r="L307" s="551"/>
      <c r="M307" s="551"/>
    </row>
    <row r="308" spans="7:13">
      <c r="G308" s="559"/>
      <c r="H308" s="558"/>
      <c r="L308" s="551"/>
      <c r="M308" s="551"/>
    </row>
    <row r="309" spans="7:13">
      <c r="G309" s="559"/>
      <c r="H309" s="558"/>
      <c r="L309" s="551"/>
      <c r="M309" s="551"/>
    </row>
    <row r="310" spans="7:13">
      <c r="G310" s="559"/>
      <c r="H310" s="558"/>
      <c r="L310" s="551"/>
      <c r="M310" s="551"/>
    </row>
    <row r="311" spans="7:8">
      <c r="G311" s="559"/>
      <c r="H311" s="558"/>
    </row>
  </sheetData>
  <autoFilter ref="A7:F420">
    <sortState ref="A7:F420">
      <sortCondition ref="F7:F420" descending="1"/>
    </sortState>
  </autoFilter>
  <mergeCells count="13">
    <mergeCell ref="A1:I1"/>
    <mergeCell ref="A3:I3"/>
    <mergeCell ref="E5:F5"/>
    <mergeCell ref="A5:A6"/>
    <mergeCell ref="B5:B6"/>
    <mergeCell ref="C5:C6"/>
    <mergeCell ref="D5:D6"/>
    <mergeCell ref="G5:G6"/>
    <mergeCell ref="H5:H6"/>
    <mergeCell ref="I5:I7"/>
    <mergeCell ref="I8:I51"/>
    <mergeCell ref="I52:I104"/>
    <mergeCell ref="I105:I234"/>
  </mergeCells>
  <pageMargins left="0.511805555555556" right="0.511805555555556" top="0.786805555555556" bottom="0.786805555555556" header="0.313888888888889" footer="0.313888888888889"/>
  <pageSetup paperSize="9" scale="84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M696"/>
  <sheetViews>
    <sheetView view="pageBreakPreview" zoomScaleNormal="90" zoomScaleSheetLayoutView="100" topLeftCell="A606" workbookViewId="0">
      <selection activeCell="E625" sqref="E625"/>
    </sheetView>
  </sheetViews>
  <sheetFormatPr defaultColWidth="9.14285714285714" defaultRowHeight="15"/>
  <cols>
    <col min="1" max="1" width="35.5714285714286" style="276" customWidth="1"/>
    <col min="2" max="2" width="12" style="276" customWidth="1"/>
    <col min="3" max="3" width="11.7142857142857" style="277" customWidth="1"/>
    <col min="4" max="4" width="10.5714285714286" style="277" customWidth="1"/>
    <col min="5" max="5" width="10.7142857142857" style="277" customWidth="1"/>
    <col min="6" max="6" width="12.5714285714286" style="276" customWidth="1"/>
    <col min="7" max="7" width="10" style="276" customWidth="1"/>
    <col min="8" max="16384" width="9.14285714285714" style="278"/>
  </cols>
  <sheetData>
    <row r="1" spans="1:8">
      <c r="A1" s="279" t="s">
        <v>805</v>
      </c>
      <c r="B1" s="280"/>
      <c r="C1" s="280"/>
      <c r="D1" s="280"/>
      <c r="E1" s="280"/>
      <c r="F1" s="280"/>
      <c r="G1" s="281"/>
      <c r="H1" s="282"/>
    </row>
    <row r="2" ht="4.5" customHeight="1" spans="1:7">
      <c r="A2" s="283"/>
      <c r="B2" s="283"/>
      <c r="C2" s="284"/>
      <c r="D2" s="284"/>
      <c r="E2" s="284"/>
      <c r="F2" s="283"/>
      <c r="G2" s="283"/>
    </row>
    <row r="3" ht="23.25" customHeight="1" spans="1:7">
      <c r="A3" s="285" t="str">
        <f>'PB III - Orçamento Sintetico'!A4:G4</f>
        <v>OBRA: CONSTRUÇÃO DA SEDE DA DEFENSORIA PÚBLICA DO ESTADO DE RORAIMA NO MUNICIPIO DO BONFIM - DPE/RR</v>
      </c>
      <c r="B3" s="286"/>
      <c r="C3" s="286"/>
      <c r="D3" s="286"/>
      <c r="E3" s="286"/>
      <c r="F3" s="286"/>
      <c r="G3" s="287"/>
    </row>
    <row r="4" ht="4.5" customHeight="1" spans="1:7">
      <c r="A4" s="283"/>
      <c r="B4" s="283"/>
      <c r="C4" s="284"/>
      <c r="D4" s="284"/>
      <c r="E4" s="284"/>
      <c r="F4" s="283"/>
      <c r="G4" s="283"/>
    </row>
    <row r="5" ht="4.35" customHeight="1" spans="1:7">
      <c r="A5" s="288"/>
      <c r="B5" s="288"/>
      <c r="C5" s="289"/>
      <c r="D5" s="289"/>
      <c r="E5" s="289"/>
      <c r="F5" s="288"/>
      <c r="G5" s="288"/>
    </row>
    <row r="6" spans="1:7">
      <c r="A6" s="290" t="s">
        <v>806</v>
      </c>
      <c r="B6" s="291"/>
      <c r="C6" s="291"/>
      <c r="D6" s="291"/>
      <c r="E6" s="291"/>
      <c r="F6" s="291"/>
      <c r="G6" s="292"/>
    </row>
    <row r="7" spans="1:7">
      <c r="A7" s="293" t="s">
        <v>807</v>
      </c>
      <c r="B7" s="294"/>
      <c r="C7" s="295"/>
      <c r="D7" s="295"/>
      <c r="E7" s="295"/>
      <c r="F7" s="294"/>
      <c r="G7" s="296" t="s">
        <v>808</v>
      </c>
    </row>
    <row r="8" spans="1:7">
      <c r="A8" s="297" t="s">
        <v>809</v>
      </c>
      <c r="B8" s="298"/>
      <c r="C8" s="299"/>
      <c r="D8" s="299"/>
      <c r="E8" s="299"/>
      <c r="F8" s="298"/>
      <c r="G8" s="298">
        <v>263.9</v>
      </c>
    </row>
    <row r="9" spans="1:7">
      <c r="A9" s="297" t="s">
        <v>810</v>
      </c>
      <c r="B9" s="298"/>
      <c r="C9" s="299"/>
      <c r="D9" s="299"/>
      <c r="E9" s="299"/>
      <c r="F9" s="298"/>
      <c r="G9" s="298">
        <f>219.47+67.85</f>
        <v>287.32</v>
      </c>
    </row>
    <row r="10" spans="1:7">
      <c r="A10" s="297" t="s">
        <v>811</v>
      </c>
      <c r="B10" s="298"/>
      <c r="C10" s="299"/>
      <c r="D10" s="299">
        <v>1600</v>
      </c>
      <c r="E10" s="300" t="s">
        <v>812</v>
      </c>
      <c r="F10" s="298">
        <v>0.299</v>
      </c>
      <c r="G10" s="298">
        <f>D10*F10</f>
        <v>478.4</v>
      </c>
    </row>
    <row r="11" spans="1:7">
      <c r="A11" s="297"/>
      <c r="B11" s="298"/>
      <c r="C11" s="299"/>
      <c r="D11" s="299">
        <v>550</v>
      </c>
      <c r="E11" s="300" t="s">
        <v>813</v>
      </c>
      <c r="F11" s="298">
        <v>0.05</v>
      </c>
      <c r="G11" s="298">
        <f>ROUND(D11*F11,2)</f>
        <v>27.5</v>
      </c>
    </row>
    <row r="12" spans="1:7">
      <c r="A12" s="301"/>
      <c r="B12" s="301"/>
      <c r="C12" s="301"/>
      <c r="D12" s="301"/>
      <c r="E12" s="301"/>
      <c r="F12" s="301"/>
      <c r="G12" s="301"/>
    </row>
    <row r="13" spans="1:7">
      <c r="A13" s="290" t="s">
        <v>814</v>
      </c>
      <c r="B13" s="291"/>
      <c r="C13" s="291"/>
      <c r="D13" s="291"/>
      <c r="E13" s="291"/>
      <c r="F13" s="291"/>
      <c r="G13" s="292"/>
    </row>
    <row r="14" spans="1:7">
      <c r="A14" s="293" t="s">
        <v>807</v>
      </c>
      <c r="B14" s="294"/>
      <c r="C14" s="294" t="s">
        <v>815</v>
      </c>
      <c r="D14" s="294" t="s">
        <v>816</v>
      </c>
      <c r="E14" s="294" t="s">
        <v>817</v>
      </c>
      <c r="F14" s="294" t="s">
        <v>818</v>
      </c>
      <c r="G14" s="296" t="s">
        <v>734</v>
      </c>
    </row>
    <row r="15" spans="1:7">
      <c r="A15" s="302" t="s">
        <v>13</v>
      </c>
      <c r="B15" s="303"/>
      <c r="C15" s="304"/>
      <c r="D15" s="304"/>
      <c r="E15" s="304"/>
      <c r="F15" s="303"/>
      <c r="G15" s="305"/>
    </row>
    <row r="16" spans="1:7">
      <c r="A16" s="297" t="s">
        <v>819</v>
      </c>
      <c r="B16" s="303"/>
      <c r="C16" s="304"/>
      <c r="D16" s="299">
        <v>64</v>
      </c>
      <c r="E16" s="299"/>
      <c r="F16" s="298">
        <v>25</v>
      </c>
      <c r="G16" s="298">
        <f>ROUND(D16*F16,2)</f>
        <v>1600</v>
      </c>
    </row>
    <row r="17" spans="1:7">
      <c r="A17" s="297" t="s">
        <v>820</v>
      </c>
      <c r="B17" s="303"/>
      <c r="C17" s="306">
        <v>1</v>
      </c>
      <c r="D17" s="299"/>
      <c r="E17" s="299"/>
      <c r="F17" s="298"/>
      <c r="G17" s="298"/>
    </row>
    <row r="18" spans="1:7">
      <c r="A18" s="297" t="s">
        <v>821</v>
      </c>
      <c r="B18" s="303"/>
      <c r="C18" s="304"/>
      <c r="D18" s="299"/>
      <c r="E18" s="299"/>
      <c r="F18" s="298"/>
      <c r="G18" s="298">
        <v>263.9</v>
      </c>
    </row>
    <row r="19" spans="1:7">
      <c r="A19" s="297"/>
      <c r="B19" s="303"/>
      <c r="C19" s="304"/>
      <c r="D19" s="299"/>
      <c r="E19" s="299"/>
      <c r="F19" s="298"/>
      <c r="G19" s="298"/>
    </row>
    <row r="20" spans="1:7">
      <c r="A20" s="307" t="s">
        <v>32</v>
      </c>
      <c r="B20" s="303"/>
      <c r="C20" s="304"/>
      <c r="D20" s="299"/>
      <c r="E20" s="299"/>
      <c r="F20" s="298"/>
      <c r="G20" s="298"/>
    </row>
    <row r="21" ht="14.25" customHeight="1" spans="1:7">
      <c r="A21" s="297" t="s">
        <v>822</v>
      </c>
      <c r="B21" s="298"/>
      <c r="C21" s="299"/>
      <c r="D21" s="299">
        <v>2.5</v>
      </c>
      <c r="E21" s="299">
        <v>1.56</v>
      </c>
      <c r="F21" s="298"/>
      <c r="G21" s="298">
        <f>ROUND(D21*E21,2)</f>
        <v>3.9</v>
      </c>
    </row>
    <row r="22" spans="1:7">
      <c r="A22" s="297" t="s">
        <v>823</v>
      </c>
      <c r="B22" s="298"/>
      <c r="C22" s="299"/>
      <c r="D22" s="299">
        <v>3</v>
      </c>
      <c r="E22" s="299"/>
      <c r="F22" s="298">
        <v>4.5</v>
      </c>
      <c r="G22" s="298">
        <f>ROUND(D22*F22,2)</f>
        <v>13.5</v>
      </c>
    </row>
    <row r="23" spans="1:7">
      <c r="A23" s="297" t="s">
        <v>824</v>
      </c>
      <c r="B23" s="298"/>
      <c r="C23" s="299"/>
      <c r="D23" s="299">
        <v>3</v>
      </c>
      <c r="E23" s="299"/>
      <c r="F23" s="298">
        <v>3</v>
      </c>
      <c r="G23" s="298">
        <f t="shared" ref="G23:G27" si="0">ROUND(D23*F23,2)</f>
        <v>9</v>
      </c>
    </row>
    <row r="24" spans="1:7">
      <c r="A24" s="297" t="s">
        <v>825</v>
      </c>
      <c r="B24" s="298"/>
      <c r="C24" s="299"/>
      <c r="D24" s="299">
        <v>3</v>
      </c>
      <c r="E24" s="299"/>
      <c r="F24" s="298">
        <v>3</v>
      </c>
      <c r="G24" s="298">
        <f t="shared" si="0"/>
        <v>9</v>
      </c>
    </row>
    <row r="25" spans="1:7">
      <c r="A25" s="297" t="s">
        <v>826</v>
      </c>
      <c r="B25" s="298"/>
      <c r="C25" s="299"/>
      <c r="D25" s="299">
        <v>3</v>
      </c>
      <c r="E25" s="299"/>
      <c r="F25" s="298">
        <v>3</v>
      </c>
      <c r="G25" s="298">
        <f t="shared" si="0"/>
        <v>9</v>
      </c>
    </row>
    <row r="26" spans="1:7">
      <c r="A26" s="297" t="s">
        <v>827</v>
      </c>
      <c r="B26" s="298"/>
      <c r="C26" s="299"/>
      <c r="D26" s="299">
        <v>3</v>
      </c>
      <c r="E26" s="299"/>
      <c r="F26" s="298">
        <v>3</v>
      </c>
      <c r="G26" s="298">
        <f t="shared" si="0"/>
        <v>9</v>
      </c>
    </row>
    <row r="27" spans="1:7">
      <c r="A27" s="297" t="s">
        <v>828</v>
      </c>
      <c r="B27" s="298"/>
      <c r="C27" s="299"/>
      <c r="D27" s="299">
        <v>3</v>
      </c>
      <c r="E27" s="299"/>
      <c r="F27" s="298">
        <v>3</v>
      </c>
      <c r="G27" s="298">
        <f t="shared" si="0"/>
        <v>9</v>
      </c>
    </row>
    <row r="28" spans="1:7">
      <c r="A28" s="297" t="s">
        <v>829</v>
      </c>
      <c r="B28" s="298"/>
      <c r="C28" s="299">
        <v>1</v>
      </c>
      <c r="D28" s="299"/>
      <c r="E28" s="299"/>
      <c r="F28" s="298"/>
      <c r="G28" s="298">
        <f>C28</f>
        <v>1</v>
      </c>
    </row>
    <row r="29" spans="1:7">
      <c r="A29" s="297" t="s">
        <v>830</v>
      </c>
      <c r="B29" s="298"/>
      <c r="C29" s="299">
        <v>1</v>
      </c>
      <c r="D29" s="299"/>
      <c r="E29" s="299"/>
      <c r="F29" s="298"/>
      <c r="G29" s="298">
        <f>C29</f>
        <v>1</v>
      </c>
    </row>
    <row r="30" spans="1:7">
      <c r="A30" s="308"/>
      <c r="B30" s="308"/>
      <c r="C30" s="308"/>
      <c r="D30" s="308"/>
      <c r="E30" s="308"/>
      <c r="F30" s="308"/>
      <c r="G30" s="308"/>
    </row>
    <row r="31" spans="1:7">
      <c r="A31" s="309"/>
      <c r="B31" s="310"/>
      <c r="C31" s="310"/>
      <c r="D31" s="310"/>
      <c r="E31" s="310"/>
      <c r="F31" s="310"/>
      <c r="G31" s="311"/>
    </row>
    <row r="32" spans="1:7">
      <c r="A32" s="290" t="s">
        <v>831</v>
      </c>
      <c r="B32" s="291"/>
      <c r="C32" s="291"/>
      <c r="D32" s="291"/>
      <c r="E32" s="291"/>
      <c r="F32" s="291"/>
      <c r="G32" s="292"/>
    </row>
    <row r="33" spans="1:7">
      <c r="A33" s="312"/>
      <c r="B33" s="312"/>
      <c r="C33" s="313"/>
      <c r="D33" s="313"/>
      <c r="E33" s="313"/>
      <c r="F33" s="312"/>
      <c r="G33" s="314"/>
    </row>
    <row r="34" spans="1:7">
      <c r="A34" s="315" t="s">
        <v>832</v>
      </c>
      <c r="B34" s="316"/>
      <c r="C34" s="317"/>
      <c r="D34" s="318" t="s">
        <v>833</v>
      </c>
      <c r="E34" s="318" t="s">
        <v>834</v>
      </c>
      <c r="F34" s="318" t="s">
        <v>835</v>
      </c>
      <c r="G34" s="318" t="s">
        <v>836</v>
      </c>
    </row>
    <row r="35" spans="1:7">
      <c r="A35" s="316" t="s">
        <v>837</v>
      </c>
      <c r="B35" s="316"/>
      <c r="C35" s="317"/>
      <c r="D35" s="319">
        <f>64*2+25*2</f>
        <v>178</v>
      </c>
      <c r="E35" s="319">
        <v>0.4</v>
      </c>
      <c r="F35" s="319">
        <v>0.4</v>
      </c>
      <c r="G35" s="319">
        <f>ROUND(D35*E35*F35,2)</f>
        <v>28.48</v>
      </c>
    </row>
    <row r="36" spans="1:7">
      <c r="A36" s="316" t="s">
        <v>838</v>
      </c>
      <c r="B36" s="316"/>
      <c r="C36" s="320" t="s">
        <v>839</v>
      </c>
      <c r="D36" s="321"/>
      <c r="E36" s="322"/>
      <c r="F36" s="316"/>
      <c r="G36" s="319">
        <f>G35-G40-G41</f>
        <v>9.79</v>
      </c>
    </row>
    <row r="37" spans="1:7">
      <c r="A37" s="316"/>
      <c r="B37" s="316"/>
      <c r="C37" s="317"/>
      <c r="D37" s="317"/>
      <c r="E37" s="317"/>
      <c r="F37" s="316"/>
      <c r="G37" s="319"/>
    </row>
    <row r="38" spans="1:7">
      <c r="A38" s="315" t="s">
        <v>840</v>
      </c>
      <c r="B38" s="316"/>
      <c r="C38" s="317"/>
      <c r="D38" s="323"/>
      <c r="E38" s="323"/>
      <c r="F38" s="315"/>
      <c r="G38" s="324"/>
    </row>
    <row r="39" spans="1:7">
      <c r="A39" s="315" t="s">
        <v>841</v>
      </c>
      <c r="B39" s="316"/>
      <c r="C39" s="317"/>
      <c r="D39" s="323"/>
      <c r="E39" s="323"/>
      <c r="F39" s="315"/>
      <c r="G39" s="318" t="s">
        <v>836</v>
      </c>
    </row>
    <row r="40" spans="1:7">
      <c r="A40" s="316" t="s">
        <v>842</v>
      </c>
      <c r="B40" s="316"/>
      <c r="C40" s="317"/>
      <c r="D40" s="319">
        <f>D35</f>
        <v>178</v>
      </c>
      <c r="E40" s="319">
        <v>0.3</v>
      </c>
      <c r="F40" s="319">
        <v>0.3</v>
      </c>
      <c r="G40" s="319">
        <f>ROUND(D40*E40*F40,2)</f>
        <v>16.02</v>
      </c>
    </row>
    <row r="41" spans="1:7">
      <c r="A41" s="316" t="s">
        <v>843</v>
      </c>
      <c r="B41" s="316"/>
      <c r="C41" s="317"/>
      <c r="D41" s="319">
        <f>D35</f>
        <v>178</v>
      </c>
      <c r="E41" s="319">
        <v>0.15</v>
      </c>
      <c r="F41" s="319">
        <v>0.1</v>
      </c>
      <c r="G41" s="319">
        <f>ROUND(D41*E41*F41,2)</f>
        <v>2.67</v>
      </c>
    </row>
    <row r="42" spans="1:7">
      <c r="A42" s="316" t="s">
        <v>844</v>
      </c>
      <c r="B42" s="316"/>
      <c r="C42" s="317"/>
      <c r="D42" s="325" t="s">
        <v>845</v>
      </c>
      <c r="E42" s="326"/>
      <c r="F42" s="327"/>
      <c r="G42" s="319">
        <f>ROUND(8-G41,2)</f>
        <v>5.33</v>
      </c>
    </row>
    <row r="43" spans="1:7">
      <c r="A43" s="315" t="s">
        <v>846</v>
      </c>
      <c r="B43" s="328"/>
      <c r="C43" s="317"/>
      <c r="D43" s="329"/>
      <c r="E43" s="323"/>
      <c r="F43" s="318"/>
      <c r="G43" s="318" t="s">
        <v>847</v>
      </c>
    </row>
    <row r="44" spans="1:7">
      <c r="A44" s="328" t="s">
        <v>848</v>
      </c>
      <c r="B44" s="330"/>
      <c r="C44" s="317"/>
      <c r="D44" s="319" t="s">
        <v>849</v>
      </c>
      <c r="E44" s="319"/>
      <c r="F44" s="319" t="s">
        <v>850</v>
      </c>
      <c r="G44" s="319">
        <v>143</v>
      </c>
    </row>
    <row r="45" spans="1:7">
      <c r="A45" s="331"/>
      <c r="B45" s="330"/>
      <c r="C45" s="317"/>
      <c r="D45" s="319" t="s">
        <v>849</v>
      </c>
      <c r="E45" s="319"/>
      <c r="F45" s="319" t="s">
        <v>851</v>
      </c>
      <c r="G45" s="319">
        <v>281</v>
      </c>
    </row>
    <row r="46" spans="1:7">
      <c r="A46" s="315" t="s">
        <v>852</v>
      </c>
      <c r="B46" s="330"/>
      <c r="C46" s="317"/>
      <c r="D46" s="317"/>
      <c r="E46" s="317"/>
      <c r="F46" s="319"/>
      <c r="G46" s="318" t="s">
        <v>853</v>
      </c>
    </row>
    <row r="47" spans="1:7">
      <c r="A47" s="316" t="s">
        <v>854</v>
      </c>
      <c r="B47" s="316"/>
      <c r="C47" s="317"/>
      <c r="D47" s="332" t="s">
        <v>849</v>
      </c>
      <c r="E47" s="333"/>
      <c r="F47" s="316"/>
      <c r="G47" s="319">
        <v>133.5</v>
      </c>
    </row>
    <row r="48" spans="1:7">
      <c r="A48" s="316"/>
      <c r="B48" s="316"/>
      <c r="C48" s="317"/>
      <c r="D48" s="317"/>
      <c r="E48" s="317"/>
      <c r="F48" s="316"/>
      <c r="G48" s="319"/>
    </row>
    <row r="49" spans="1:7">
      <c r="A49" s="315" t="s">
        <v>855</v>
      </c>
      <c r="B49" s="316"/>
      <c r="C49" s="317"/>
      <c r="D49" s="317"/>
      <c r="E49" s="317"/>
      <c r="F49" s="316"/>
      <c r="G49" s="324"/>
    </row>
    <row r="50" spans="1:7">
      <c r="A50" s="315" t="s">
        <v>856</v>
      </c>
      <c r="B50" s="328"/>
      <c r="C50" s="317"/>
      <c r="D50" s="329"/>
      <c r="E50" s="323"/>
      <c r="F50" s="318"/>
      <c r="G50" s="318" t="s">
        <v>836</v>
      </c>
    </row>
    <row r="51" spans="1:7">
      <c r="A51" s="316" t="s">
        <v>857</v>
      </c>
      <c r="B51" s="316"/>
      <c r="C51" s="317"/>
      <c r="D51" s="320" t="s">
        <v>849</v>
      </c>
      <c r="E51" s="322"/>
      <c r="F51" s="316"/>
      <c r="G51" s="319">
        <v>5.52</v>
      </c>
    </row>
    <row r="52" spans="1:7">
      <c r="A52" s="315" t="s">
        <v>858</v>
      </c>
      <c r="B52" s="328"/>
      <c r="C52" s="317"/>
      <c r="D52" s="334"/>
      <c r="E52" s="318"/>
      <c r="F52" s="318"/>
      <c r="G52" s="318" t="s">
        <v>847</v>
      </c>
    </row>
    <row r="53" spans="1:7">
      <c r="A53" s="328" t="s">
        <v>848</v>
      </c>
      <c r="B53" s="330"/>
      <c r="C53" s="317"/>
      <c r="D53" s="320" t="s">
        <v>849</v>
      </c>
      <c r="E53" s="322"/>
      <c r="F53" s="319" t="s">
        <v>850</v>
      </c>
      <c r="G53" s="319">
        <v>111.56</v>
      </c>
    </row>
    <row r="54" spans="1:7">
      <c r="A54" s="331"/>
      <c r="B54" s="330"/>
      <c r="C54" s="317"/>
      <c r="D54" s="320" t="s">
        <v>849</v>
      </c>
      <c r="E54" s="322"/>
      <c r="F54" s="319" t="s">
        <v>859</v>
      </c>
      <c r="G54" s="319">
        <v>425.73</v>
      </c>
    </row>
    <row r="55" spans="1:7">
      <c r="A55" s="315" t="s">
        <v>852</v>
      </c>
      <c r="B55" s="330"/>
      <c r="C55" s="317"/>
      <c r="D55" s="317"/>
      <c r="E55" s="317"/>
      <c r="F55" s="319"/>
      <c r="G55" s="318" t="s">
        <v>853</v>
      </c>
    </row>
    <row r="56" spans="1:7">
      <c r="A56" s="316" t="s">
        <v>854</v>
      </c>
      <c r="B56" s="316"/>
      <c r="C56" s="317"/>
      <c r="D56" s="332" t="s">
        <v>849</v>
      </c>
      <c r="E56" s="333"/>
      <c r="F56" s="316"/>
      <c r="G56" s="319">
        <v>110</v>
      </c>
    </row>
    <row r="57" spans="1:7">
      <c r="A57" s="316"/>
      <c r="B57" s="335"/>
      <c r="C57" s="317"/>
      <c r="D57" s="317"/>
      <c r="E57" s="317"/>
      <c r="F57" s="319"/>
      <c r="G57" s="319"/>
    </row>
    <row r="58" spans="1:7">
      <c r="A58" s="315" t="s">
        <v>860</v>
      </c>
      <c r="B58" s="316"/>
      <c r="C58" s="317"/>
      <c r="D58" s="318" t="s">
        <v>833</v>
      </c>
      <c r="E58" s="318" t="s">
        <v>835</v>
      </c>
      <c r="F58" s="318" t="s">
        <v>861</v>
      </c>
      <c r="G58" s="318" t="s">
        <v>862</v>
      </c>
    </row>
    <row r="59" spans="1:7">
      <c r="A59" s="316" t="s">
        <v>471</v>
      </c>
      <c r="B59" s="316"/>
      <c r="C59" s="317"/>
      <c r="D59" s="319">
        <f>28.83+17.9+24.6-3+63.6+24.6</f>
        <v>156.53</v>
      </c>
      <c r="E59" s="319">
        <v>2</v>
      </c>
      <c r="F59" s="319"/>
      <c r="G59" s="319">
        <f>ROUND(D59*E59,2)-F59</f>
        <v>313.06</v>
      </c>
    </row>
    <row r="60" spans="1:7">
      <c r="A60" s="316" t="s">
        <v>863</v>
      </c>
      <c r="B60" s="316"/>
      <c r="C60" s="317"/>
      <c r="D60" s="319">
        <f>6.5*2</f>
        <v>13</v>
      </c>
      <c r="E60" s="319">
        <v>0.3</v>
      </c>
      <c r="F60" s="319"/>
      <c r="G60" s="319">
        <f>ROUND(D60*E60,2)-F60</f>
        <v>3.9</v>
      </c>
    </row>
    <row r="61" spans="1:7">
      <c r="A61" s="316"/>
      <c r="B61" s="316"/>
      <c r="C61" s="317"/>
      <c r="D61" s="317"/>
      <c r="E61" s="317"/>
      <c r="F61" s="316"/>
      <c r="G61" s="319"/>
    </row>
    <row r="62" spans="1:7">
      <c r="A62" s="316" t="s">
        <v>473</v>
      </c>
      <c r="B62" s="316"/>
      <c r="C62" s="317"/>
      <c r="D62" s="320" t="s">
        <v>864</v>
      </c>
      <c r="E62" s="322"/>
      <c r="F62" s="319"/>
      <c r="G62" s="319">
        <f>G59*2+G60*2</f>
        <v>633.92</v>
      </c>
    </row>
    <row r="63" spans="1:7">
      <c r="A63" s="316" t="s">
        <v>865</v>
      </c>
      <c r="B63" s="316"/>
      <c r="C63" s="317"/>
      <c r="D63" s="319" t="s">
        <v>866</v>
      </c>
      <c r="E63" s="319">
        <f>(64-3)*E59*2+(24-3)*E59*2-1.7*6.5*2</f>
        <v>305.9</v>
      </c>
      <c r="F63" s="316"/>
      <c r="G63" s="319">
        <f>E63</f>
        <v>305.9</v>
      </c>
    </row>
    <row r="64" spans="1:7">
      <c r="A64" s="316" t="s">
        <v>867</v>
      </c>
      <c r="B64" s="316"/>
      <c r="C64" s="317"/>
      <c r="D64" s="319"/>
      <c r="E64" s="319" t="s">
        <v>868</v>
      </c>
      <c r="F64" s="316"/>
      <c r="G64" s="319">
        <f>D59-6.7*2</f>
        <v>143.13</v>
      </c>
    </row>
    <row r="65" spans="1:7">
      <c r="A65" s="316" t="s">
        <v>869</v>
      </c>
      <c r="B65" s="316"/>
      <c r="C65" s="317"/>
      <c r="D65" s="319">
        <v>13</v>
      </c>
      <c r="E65" s="319">
        <v>1.5</v>
      </c>
      <c r="F65" s="316"/>
      <c r="G65" s="319">
        <f>ROUND(D65*E65,2)</f>
        <v>19.5</v>
      </c>
    </row>
    <row r="66" spans="1:7">
      <c r="A66" s="336"/>
      <c r="B66" s="336"/>
      <c r="C66" s="337"/>
      <c r="D66" s="337"/>
      <c r="E66" s="337"/>
      <c r="F66" s="336"/>
      <c r="G66" s="338"/>
    </row>
    <row r="67" spans="1:7">
      <c r="A67" s="315" t="s">
        <v>870</v>
      </c>
      <c r="B67" s="316"/>
      <c r="C67" s="339" t="s">
        <v>833</v>
      </c>
      <c r="D67" s="339" t="s">
        <v>835</v>
      </c>
      <c r="E67" s="339" t="s">
        <v>871</v>
      </c>
      <c r="F67" s="340" t="s">
        <v>861</v>
      </c>
      <c r="G67" s="339" t="s">
        <v>862</v>
      </c>
    </row>
    <row r="68" spans="1:7">
      <c r="A68" s="316" t="s">
        <v>872</v>
      </c>
      <c r="B68" s="316"/>
      <c r="C68" s="319" t="s">
        <v>873</v>
      </c>
      <c r="D68" s="319">
        <f>E59</f>
        <v>2</v>
      </c>
      <c r="E68" s="319"/>
      <c r="F68" s="229"/>
      <c r="G68" s="319">
        <f>G63</f>
        <v>305.9</v>
      </c>
    </row>
    <row r="69" spans="1:7">
      <c r="A69" s="316" t="s">
        <v>874</v>
      </c>
      <c r="B69" s="316"/>
      <c r="C69" s="319" t="str">
        <f>C68</f>
        <v>Igual Reboco</v>
      </c>
      <c r="D69" s="319">
        <f>D68</f>
        <v>2</v>
      </c>
      <c r="E69" s="319"/>
      <c r="F69" s="229"/>
      <c r="G69" s="319">
        <f>G63</f>
        <v>305.9</v>
      </c>
    </row>
    <row r="70" spans="1:7">
      <c r="A70" s="341"/>
      <c r="B70" s="341"/>
      <c r="C70" s="342"/>
      <c r="D70" s="342"/>
      <c r="E70" s="342"/>
      <c r="F70" s="341"/>
      <c r="G70" s="341"/>
    </row>
    <row r="71" spans="1:7">
      <c r="A71" s="290" t="s">
        <v>875</v>
      </c>
      <c r="B71" s="291"/>
      <c r="C71" s="291"/>
      <c r="D71" s="291"/>
      <c r="E71" s="291"/>
      <c r="F71" s="291"/>
      <c r="G71" s="292"/>
    </row>
    <row r="72" spans="1:7">
      <c r="A72" s="315" t="s">
        <v>876</v>
      </c>
      <c r="B72" s="318" t="s">
        <v>871</v>
      </c>
      <c r="C72" s="318" t="s">
        <v>833</v>
      </c>
      <c r="D72" s="318" t="s">
        <v>834</v>
      </c>
      <c r="E72" s="318" t="s">
        <v>853</v>
      </c>
      <c r="F72" s="318" t="s">
        <v>835</v>
      </c>
      <c r="G72" s="318" t="s">
        <v>836</v>
      </c>
    </row>
    <row r="73" spans="1:7">
      <c r="A73" s="343" t="s">
        <v>877</v>
      </c>
      <c r="B73" s="319">
        <v>3</v>
      </c>
      <c r="C73" s="317">
        <v>1.4</v>
      </c>
      <c r="D73" s="317">
        <v>1.2</v>
      </c>
      <c r="E73" s="317">
        <f>C73*D73*B73</f>
        <v>5.04</v>
      </c>
      <c r="F73" s="319">
        <v>1.5</v>
      </c>
      <c r="G73" s="319">
        <f>F73*D73*C73*B73</f>
        <v>7.56</v>
      </c>
    </row>
    <row r="74" spans="1:7">
      <c r="A74" s="316" t="s">
        <v>878</v>
      </c>
      <c r="B74" s="319">
        <v>5</v>
      </c>
      <c r="C74" s="317">
        <v>1.5</v>
      </c>
      <c r="D74" s="317">
        <v>1.3</v>
      </c>
      <c r="E74" s="317">
        <f t="shared" ref="E74:E86" si="1">C74*D74*B74</f>
        <v>9.75</v>
      </c>
      <c r="F74" s="319">
        <v>1.5</v>
      </c>
      <c r="G74" s="319">
        <f t="shared" ref="G74:G86" si="2">C74*D74*F74*B74</f>
        <v>14.625</v>
      </c>
    </row>
    <row r="75" spans="1:7">
      <c r="A75" s="343" t="s">
        <v>879</v>
      </c>
      <c r="B75" s="319">
        <v>5</v>
      </c>
      <c r="C75" s="317">
        <v>1.25</v>
      </c>
      <c r="D75" s="317">
        <v>1.05</v>
      </c>
      <c r="E75" s="317">
        <f t="shared" si="1"/>
        <v>6.5625</v>
      </c>
      <c r="F75" s="319">
        <v>1.5</v>
      </c>
      <c r="G75" s="319">
        <f t="shared" si="2"/>
        <v>9.84375</v>
      </c>
    </row>
    <row r="76" spans="1:7">
      <c r="A76" s="316" t="s">
        <v>880</v>
      </c>
      <c r="B76" s="319">
        <v>9</v>
      </c>
      <c r="C76" s="317">
        <v>1.1</v>
      </c>
      <c r="D76" s="317">
        <v>0.9</v>
      </c>
      <c r="E76" s="317">
        <f t="shared" si="1"/>
        <v>8.91</v>
      </c>
      <c r="F76" s="319">
        <v>1.5</v>
      </c>
      <c r="G76" s="319">
        <f t="shared" si="2"/>
        <v>13.365</v>
      </c>
    </row>
    <row r="77" spans="1:7">
      <c r="A77" s="316" t="s">
        <v>881</v>
      </c>
      <c r="B77" s="319">
        <v>2</v>
      </c>
      <c r="C77" s="317">
        <v>1.15</v>
      </c>
      <c r="D77" s="317">
        <v>0.95</v>
      </c>
      <c r="E77" s="317">
        <f t="shared" ref="E77" si="3">C77*D77*B77</f>
        <v>2.185</v>
      </c>
      <c r="F77" s="319">
        <v>1.5</v>
      </c>
      <c r="G77" s="319">
        <f t="shared" ref="G77" si="4">C77*D77*F77*B77</f>
        <v>3.2775</v>
      </c>
    </row>
    <row r="78" spans="1:7">
      <c r="A78" s="316" t="s">
        <v>882</v>
      </c>
      <c r="B78" s="319">
        <v>9</v>
      </c>
      <c r="C78" s="317">
        <v>1.35</v>
      </c>
      <c r="D78" s="317">
        <v>1.15</v>
      </c>
      <c r="E78" s="317">
        <f t="shared" si="1"/>
        <v>13.9725</v>
      </c>
      <c r="F78" s="319">
        <v>1.5</v>
      </c>
      <c r="G78" s="319">
        <f t="shared" si="2"/>
        <v>20.95875</v>
      </c>
    </row>
    <row r="79" spans="1:7">
      <c r="A79" s="316" t="s">
        <v>883</v>
      </c>
      <c r="B79" s="319">
        <v>4</v>
      </c>
      <c r="C79" s="317">
        <v>1</v>
      </c>
      <c r="D79" s="317">
        <v>0.8</v>
      </c>
      <c r="E79" s="317">
        <f t="shared" si="1"/>
        <v>3.2</v>
      </c>
      <c r="F79" s="319">
        <v>1.5</v>
      </c>
      <c r="G79" s="319">
        <f t="shared" si="2"/>
        <v>4.8</v>
      </c>
    </row>
    <row r="80" spans="1:7">
      <c r="A80" s="316" t="s">
        <v>884</v>
      </c>
      <c r="B80" s="319">
        <v>1</v>
      </c>
      <c r="C80" s="317">
        <v>0.8</v>
      </c>
      <c r="D80" s="317">
        <v>1.1</v>
      </c>
      <c r="E80" s="317">
        <f t="shared" si="1"/>
        <v>0.88</v>
      </c>
      <c r="F80" s="319">
        <v>1.5</v>
      </c>
      <c r="G80" s="319">
        <f t="shared" si="2"/>
        <v>1.32</v>
      </c>
    </row>
    <row r="81" spans="1:7">
      <c r="A81" s="316" t="s">
        <v>885</v>
      </c>
      <c r="B81" s="319">
        <v>1</v>
      </c>
      <c r="C81" s="317">
        <v>1.55</v>
      </c>
      <c r="D81" s="317">
        <v>1.35</v>
      </c>
      <c r="E81" s="317">
        <f t="shared" si="1"/>
        <v>2.0925</v>
      </c>
      <c r="F81" s="319">
        <v>1.5</v>
      </c>
      <c r="G81" s="319">
        <f t="shared" si="2"/>
        <v>3.13875</v>
      </c>
    </row>
    <row r="82" spans="1:7">
      <c r="A82" s="316" t="s">
        <v>886</v>
      </c>
      <c r="B82" s="319">
        <v>4</v>
      </c>
      <c r="C82" s="317">
        <v>1.3</v>
      </c>
      <c r="D82" s="317">
        <v>1.1</v>
      </c>
      <c r="E82" s="317">
        <f t="shared" si="1"/>
        <v>5.72</v>
      </c>
      <c r="F82" s="319">
        <v>1.5</v>
      </c>
      <c r="G82" s="319">
        <f t="shared" si="2"/>
        <v>8.58</v>
      </c>
    </row>
    <row r="83" spans="1:7">
      <c r="A83" s="316" t="s">
        <v>887</v>
      </c>
      <c r="B83" s="319">
        <v>1</v>
      </c>
      <c r="C83" s="317">
        <v>1.8</v>
      </c>
      <c r="D83" s="317">
        <v>1.6</v>
      </c>
      <c r="E83" s="317">
        <f t="shared" si="1"/>
        <v>2.88</v>
      </c>
      <c r="F83" s="319">
        <v>1.5</v>
      </c>
      <c r="G83" s="319">
        <f t="shared" si="2"/>
        <v>4.32</v>
      </c>
    </row>
    <row r="84" spans="1:7">
      <c r="A84" s="316" t="s">
        <v>888</v>
      </c>
      <c r="B84" s="319">
        <v>2</v>
      </c>
      <c r="C84" s="317">
        <v>1.6</v>
      </c>
      <c r="D84" s="317">
        <v>1.4</v>
      </c>
      <c r="E84" s="317">
        <f t="shared" si="1"/>
        <v>4.48</v>
      </c>
      <c r="F84" s="319">
        <v>1.5</v>
      </c>
      <c r="G84" s="319">
        <f t="shared" si="2"/>
        <v>6.72</v>
      </c>
    </row>
    <row r="85" spans="1:7">
      <c r="A85" s="316" t="s">
        <v>889</v>
      </c>
      <c r="B85" s="319">
        <v>1</v>
      </c>
      <c r="C85" s="317">
        <v>1.4</v>
      </c>
      <c r="D85" s="317">
        <v>1.4</v>
      </c>
      <c r="E85" s="317">
        <f t="shared" si="1"/>
        <v>1.96</v>
      </c>
      <c r="F85" s="319">
        <v>1.5</v>
      </c>
      <c r="G85" s="319">
        <f t="shared" si="2"/>
        <v>2.94</v>
      </c>
    </row>
    <row r="86" spans="1:7">
      <c r="A86" s="316" t="s">
        <v>890</v>
      </c>
      <c r="B86" s="319">
        <v>1</v>
      </c>
      <c r="C86" s="317">
        <v>1.7</v>
      </c>
      <c r="D86" s="317">
        <v>1.5</v>
      </c>
      <c r="E86" s="317">
        <f t="shared" si="1"/>
        <v>2.55</v>
      </c>
      <c r="F86" s="319">
        <v>1.5</v>
      </c>
      <c r="G86" s="319">
        <f t="shared" si="2"/>
        <v>3.825</v>
      </c>
    </row>
    <row r="87" spans="1:7">
      <c r="A87" s="316" t="s">
        <v>891</v>
      </c>
      <c r="B87" s="319">
        <v>4</v>
      </c>
      <c r="C87" s="317">
        <v>0.85</v>
      </c>
      <c r="D87" s="317">
        <v>0.65</v>
      </c>
      <c r="E87" s="317">
        <f t="shared" ref="E87" si="5">C87*D87*B87</f>
        <v>2.21</v>
      </c>
      <c r="F87" s="319">
        <v>1.5</v>
      </c>
      <c r="G87" s="319">
        <f t="shared" ref="G87" si="6">C87*D87*F87*B87</f>
        <v>3.315</v>
      </c>
    </row>
    <row r="88" s="275" customFormat="1" spans="1:7">
      <c r="A88" s="316"/>
      <c r="B88" s="316"/>
      <c r="C88" s="317"/>
      <c r="D88" s="317"/>
      <c r="E88" s="317"/>
      <c r="F88" s="319"/>
      <c r="G88" s="319"/>
    </row>
    <row r="89" s="275" customFormat="1" spans="1:7">
      <c r="A89" s="316"/>
      <c r="B89" s="316"/>
      <c r="C89" s="317"/>
      <c r="D89" s="317"/>
      <c r="E89" s="317">
        <f>ROUND(SUM(E73:E88),2)</f>
        <v>72.39</v>
      </c>
      <c r="F89" s="319"/>
      <c r="G89" s="319">
        <f>ROUND(SUM(G73:G88),2)</f>
        <v>108.59</v>
      </c>
    </row>
    <row r="90" s="275" customFormat="1" spans="1:7">
      <c r="A90" s="316"/>
      <c r="B90" s="316"/>
      <c r="C90" s="317"/>
      <c r="D90" s="317"/>
      <c r="E90" s="317"/>
      <c r="F90" s="319"/>
      <c r="G90" s="319"/>
    </row>
    <row r="91" spans="1:7">
      <c r="A91" s="316" t="s">
        <v>892</v>
      </c>
      <c r="B91" s="316"/>
      <c r="C91" s="317"/>
      <c r="D91" s="317" t="s">
        <v>893</v>
      </c>
      <c r="E91" s="317"/>
      <c r="F91" s="316"/>
      <c r="G91" s="319">
        <f>G89-B96</f>
        <v>85.29</v>
      </c>
    </row>
    <row r="92" spans="1:7">
      <c r="A92" s="341"/>
      <c r="B92" s="341"/>
      <c r="C92" s="342"/>
      <c r="D92" s="342"/>
      <c r="E92" s="342"/>
      <c r="F92" s="341"/>
      <c r="G92" s="341"/>
    </row>
    <row r="93" spans="1:7">
      <c r="A93" s="290" t="s">
        <v>894</v>
      </c>
      <c r="B93" s="291"/>
      <c r="C93" s="291"/>
      <c r="D93" s="291"/>
      <c r="E93" s="291"/>
      <c r="F93" s="291"/>
      <c r="G93" s="292"/>
    </row>
    <row r="94" spans="1:7">
      <c r="A94" s="315" t="s">
        <v>895</v>
      </c>
      <c r="B94" s="324"/>
      <c r="C94" s="344"/>
      <c r="D94" s="323"/>
      <c r="E94" s="323"/>
      <c r="F94" s="318"/>
      <c r="G94" s="318"/>
    </row>
    <row r="95" spans="1:7">
      <c r="A95" s="345" t="s">
        <v>896</v>
      </c>
      <c r="B95" s="346" t="s">
        <v>857</v>
      </c>
      <c r="C95" s="346" t="s">
        <v>897</v>
      </c>
      <c r="D95" s="347"/>
      <c r="E95" s="347"/>
      <c r="F95" s="348"/>
      <c r="G95" s="348"/>
    </row>
    <row r="96" spans="1:7">
      <c r="A96" s="324"/>
      <c r="B96" s="319">
        <v>23.3</v>
      </c>
      <c r="C96" s="317">
        <v>129.41</v>
      </c>
      <c r="D96" s="317"/>
      <c r="E96" s="317"/>
      <c r="F96" s="319"/>
      <c r="G96" s="319"/>
    </row>
    <row r="97" spans="1:7">
      <c r="A97" s="316"/>
      <c r="B97" s="318">
        <v>6.3</v>
      </c>
      <c r="C97" s="318">
        <v>8</v>
      </c>
      <c r="D97" s="318">
        <v>10</v>
      </c>
      <c r="E97" s="318">
        <v>12.5</v>
      </c>
      <c r="F97" s="318">
        <v>16</v>
      </c>
      <c r="G97" s="318" t="s">
        <v>898</v>
      </c>
    </row>
    <row r="98" spans="1:7">
      <c r="A98" s="316"/>
      <c r="B98" s="319">
        <f>ROUND(111.8/1.1,2)</f>
        <v>101.64</v>
      </c>
      <c r="C98" s="317">
        <f>ROUND(239.9/1.1,2)</f>
        <v>218.09</v>
      </c>
      <c r="D98" s="317">
        <f>ROUND(678.4/1.1,2)</f>
        <v>616.73</v>
      </c>
      <c r="E98" s="317">
        <f>ROUND(98.9/1.1,2)</f>
        <v>89.91</v>
      </c>
      <c r="F98" s="319"/>
      <c r="G98" s="319">
        <f>ROUND(100.5/1.1,2)</f>
        <v>91.36</v>
      </c>
    </row>
    <row r="99" spans="1:7">
      <c r="A99" s="315"/>
      <c r="B99" s="318" t="s">
        <v>857</v>
      </c>
      <c r="C99" s="323"/>
      <c r="D99" s="323"/>
      <c r="E99" s="323"/>
      <c r="F99" s="318"/>
      <c r="G99" s="318"/>
    </row>
    <row r="100" spans="1:7">
      <c r="A100" s="316" t="s">
        <v>899</v>
      </c>
      <c r="B100" s="319">
        <f>E89</f>
        <v>72.39</v>
      </c>
      <c r="C100" s="323"/>
      <c r="D100" s="323"/>
      <c r="E100" s="323"/>
      <c r="F100" s="318"/>
      <c r="G100" s="318"/>
    </row>
    <row r="101" spans="1:7">
      <c r="A101" s="315"/>
      <c r="B101" s="318"/>
      <c r="C101" s="323"/>
      <c r="D101" s="323"/>
      <c r="E101" s="323"/>
      <c r="F101" s="318"/>
      <c r="G101" s="318"/>
    </row>
    <row r="102" spans="1:7">
      <c r="A102" s="345" t="s">
        <v>900</v>
      </c>
      <c r="B102" s="346" t="s">
        <v>857</v>
      </c>
      <c r="C102" s="346" t="s">
        <v>897</v>
      </c>
      <c r="D102" s="349"/>
      <c r="E102" s="349"/>
      <c r="F102" s="346"/>
      <c r="G102" s="346"/>
    </row>
    <row r="103" spans="1:7">
      <c r="A103" s="324"/>
      <c r="B103" s="319">
        <v>9.7</v>
      </c>
      <c r="C103" s="317">
        <v>157.28</v>
      </c>
      <c r="D103" s="317"/>
      <c r="E103" s="317"/>
      <c r="F103" s="319"/>
      <c r="G103" s="319"/>
    </row>
    <row r="104" spans="1:7">
      <c r="A104" s="316"/>
      <c r="B104" s="318">
        <v>6.3</v>
      </c>
      <c r="C104" s="318">
        <v>8</v>
      </c>
      <c r="D104" s="318">
        <v>10</v>
      </c>
      <c r="E104" s="318">
        <v>12.5</v>
      </c>
      <c r="F104" s="318">
        <v>16</v>
      </c>
      <c r="G104" s="318" t="s">
        <v>898</v>
      </c>
    </row>
    <row r="105" spans="1:7">
      <c r="A105" s="316"/>
      <c r="B105" s="319">
        <f>ROUND(0.4/1.1,2)</f>
        <v>0.36</v>
      </c>
      <c r="C105" s="317">
        <f>ROUND(295.2/1.1,2)</f>
        <v>268.36</v>
      </c>
      <c r="D105" s="317">
        <f>ROUND(59.2/1.1,2)</f>
        <v>53.82</v>
      </c>
      <c r="E105" s="317">
        <f>ROUND(20.6/1.1,2)</f>
        <v>18.73</v>
      </c>
      <c r="F105" s="317">
        <f>ROUND(9.9/1.1,2)</f>
        <v>9</v>
      </c>
      <c r="G105" s="319">
        <f>ROUND(139/1.1,2)</f>
        <v>126.36</v>
      </c>
    </row>
    <row r="106" spans="1:7">
      <c r="A106" s="316"/>
      <c r="B106" s="319"/>
      <c r="C106" s="317"/>
      <c r="D106" s="317"/>
      <c r="E106" s="317"/>
      <c r="F106" s="319"/>
      <c r="G106" s="319"/>
    </row>
    <row r="107" spans="1:7">
      <c r="A107" s="345" t="s">
        <v>901</v>
      </c>
      <c r="B107" s="346" t="s">
        <v>857</v>
      </c>
      <c r="C107" s="346" t="s">
        <v>897</v>
      </c>
      <c r="D107" s="349"/>
      <c r="E107" s="349"/>
      <c r="F107" s="346"/>
      <c r="G107" s="346"/>
    </row>
    <row r="108" spans="1:7">
      <c r="A108" s="324"/>
      <c r="B108" s="319">
        <v>8.4</v>
      </c>
      <c r="C108" s="317">
        <v>160.3</v>
      </c>
      <c r="D108" s="317"/>
      <c r="E108" s="317"/>
      <c r="F108" s="319"/>
      <c r="G108" s="319"/>
    </row>
    <row r="109" spans="1:7">
      <c r="A109" s="316"/>
      <c r="B109" s="318">
        <v>6.3</v>
      </c>
      <c r="C109" s="318">
        <v>8</v>
      </c>
      <c r="D109" s="318">
        <v>10</v>
      </c>
      <c r="E109" s="318">
        <v>12.5</v>
      </c>
      <c r="F109" s="318">
        <v>16</v>
      </c>
      <c r="G109" s="318" t="s">
        <v>898</v>
      </c>
    </row>
    <row r="110" spans="1:7">
      <c r="A110" s="316"/>
      <c r="B110" s="319">
        <v>0</v>
      </c>
      <c r="C110" s="317">
        <v>0</v>
      </c>
      <c r="D110" s="317">
        <f>ROUND(419.2/1.1,2)</f>
        <v>381.09</v>
      </c>
      <c r="E110" s="317">
        <f>ROUND(80.9/1.1,2)</f>
        <v>73.55</v>
      </c>
      <c r="F110" s="319"/>
      <c r="G110" s="319">
        <f>ROUND(201.4/1.1,2)</f>
        <v>183.09</v>
      </c>
    </row>
    <row r="111" s="275" customFormat="1" spans="1:7">
      <c r="A111" s="316"/>
      <c r="B111" s="319"/>
      <c r="C111" s="317"/>
      <c r="D111" s="317"/>
      <c r="E111" s="317"/>
      <c r="F111" s="319"/>
      <c r="G111" s="319"/>
    </row>
    <row r="112" spans="1:7">
      <c r="A112" s="345" t="s">
        <v>902</v>
      </c>
      <c r="B112" s="346" t="s">
        <v>857</v>
      </c>
      <c r="C112" s="346" t="s">
        <v>897</v>
      </c>
      <c r="D112" s="349"/>
      <c r="E112" s="349"/>
      <c r="F112" s="346"/>
      <c r="G112" s="346"/>
    </row>
    <row r="113" spans="1:7">
      <c r="A113" s="324"/>
      <c r="B113" s="319">
        <v>10.6</v>
      </c>
      <c r="C113" s="317">
        <v>170.01</v>
      </c>
      <c r="D113" s="317"/>
      <c r="E113" s="317"/>
      <c r="F113" s="319"/>
      <c r="G113" s="319"/>
    </row>
    <row r="114" spans="1:7">
      <c r="A114" s="316"/>
      <c r="B114" s="318">
        <v>6.3</v>
      </c>
      <c r="C114" s="323">
        <v>8</v>
      </c>
      <c r="D114" s="323">
        <v>10</v>
      </c>
      <c r="E114" s="323">
        <v>12.5</v>
      </c>
      <c r="F114" s="318">
        <v>16</v>
      </c>
      <c r="G114" s="318" t="s">
        <v>898</v>
      </c>
    </row>
    <row r="115" spans="1:7">
      <c r="A115" s="316"/>
      <c r="B115" s="319">
        <f>ROUND(15.4/1.1,2)</f>
        <v>14</v>
      </c>
      <c r="C115" s="317">
        <f>ROUND(334.3/1.1,2)</f>
        <v>303.91</v>
      </c>
      <c r="D115" s="317">
        <f>ROUND(79.6/1.1,2)</f>
        <v>72.36</v>
      </c>
      <c r="E115" s="317">
        <f>ROUND(7.6/1.1,2)</f>
        <v>6.91</v>
      </c>
      <c r="F115" s="317">
        <f>ROUND(54.7/1.1,2)</f>
        <v>49.73</v>
      </c>
      <c r="G115" s="319">
        <f>ROUND(156.1/1.1,2)</f>
        <v>141.91</v>
      </c>
    </row>
    <row r="116" s="275" customFormat="1" spans="1:7">
      <c r="A116" s="316"/>
      <c r="B116" s="319"/>
      <c r="C116" s="317"/>
      <c r="D116" s="317"/>
      <c r="E116" s="317"/>
      <c r="F116" s="319"/>
      <c r="G116" s="319"/>
    </row>
    <row r="117" s="275" customFormat="1" spans="1:7">
      <c r="A117" s="345" t="s">
        <v>903</v>
      </c>
      <c r="B117" s="346" t="s">
        <v>857</v>
      </c>
      <c r="C117" s="346" t="s">
        <v>897</v>
      </c>
      <c r="D117" s="349"/>
      <c r="E117" s="349"/>
      <c r="F117" s="346"/>
      <c r="G117" s="346"/>
    </row>
    <row r="118" s="275" customFormat="1" spans="1:7">
      <c r="A118" s="324"/>
      <c r="B118" s="319">
        <v>32.5</v>
      </c>
      <c r="C118" s="317">
        <v>322.53</v>
      </c>
      <c r="D118" s="317"/>
      <c r="E118" s="317"/>
      <c r="F118" s="319"/>
      <c r="G118" s="319"/>
    </row>
    <row r="119" s="275" customFormat="1" spans="1:7">
      <c r="A119" s="316"/>
      <c r="B119" s="318">
        <v>6.3</v>
      </c>
      <c r="C119" s="323">
        <v>8</v>
      </c>
      <c r="D119" s="323">
        <v>10</v>
      </c>
      <c r="E119" s="323">
        <v>12.5</v>
      </c>
      <c r="F119" s="318">
        <v>16</v>
      </c>
      <c r="G119" s="318" t="s">
        <v>898</v>
      </c>
    </row>
    <row r="120" s="275" customFormat="1" spans="1:7">
      <c r="A120" s="316"/>
      <c r="B120" s="319">
        <f>ROUND(957.3/1.1,2)</f>
        <v>870.27</v>
      </c>
      <c r="C120" s="317">
        <f>ROUND(599.4/1.1,2)</f>
        <v>544.91</v>
      </c>
      <c r="D120" s="317">
        <f>ROUND(230.5/1.1,2)</f>
        <v>209.55</v>
      </c>
      <c r="E120" s="317">
        <f>ROUND(230.5/1.1,2)</f>
        <v>209.55</v>
      </c>
      <c r="F120" s="319"/>
      <c r="G120" s="319">
        <f>ROUND(976.3/1.1,2)</f>
        <v>887.55</v>
      </c>
    </row>
    <row r="121" s="275" customFormat="1" spans="1:7">
      <c r="A121" s="316"/>
      <c r="B121" s="319"/>
      <c r="C121" s="317"/>
      <c r="D121" s="317"/>
      <c r="E121" s="317"/>
      <c r="F121" s="319"/>
      <c r="G121" s="319"/>
    </row>
    <row r="122" spans="1:7">
      <c r="A122" s="345" t="s">
        <v>904</v>
      </c>
      <c r="B122" s="346" t="s">
        <v>857</v>
      </c>
      <c r="C122" s="346" t="s">
        <v>897</v>
      </c>
      <c r="D122" s="349"/>
      <c r="E122" s="349"/>
      <c r="F122" s="346"/>
      <c r="G122" s="346"/>
    </row>
    <row r="123" spans="1:7">
      <c r="A123" s="324"/>
      <c r="B123" s="319">
        <v>0.6</v>
      </c>
      <c r="C123" s="317">
        <v>12</v>
      </c>
      <c r="D123" s="317"/>
      <c r="E123" s="317"/>
      <c r="F123" s="319"/>
      <c r="G123" s="319"/>
    </row>
    <row r="124" spans="1:7">
      <c r="A124" s="316"/>
      <c r="B124" s="318">
        <v>6.3</v>
      </c>
      <c r="C124" s="323">
        <v>8</v>
      </c>
      <c r="D124" s="323">
        <v>10</v>
      </c>
      <c r="E124" s="323">
        <v>12.5</v>
      </c>
      <c r="F124" s="318">
        <v>16</v>
      </c>
      <c r="G124" s="318" t="s">
        <v>898</v>
      </c>
    </row>
    <row r="125" spans="1:7">
      <c r="A125" s="316"/>
      <c r="B125" s="319">
        <v>0</v>
      </c>
      <c r="C125" s="317">
        <v>0</v>
      </c>
      <c r="D125" s="317">
        <f>ROUND(36.3/1.1,2)</f>
        <v>33</v>
      </c>
      <c r="E125" s="317">
        <v>0</v>
      </c>
      <c r="F125" s="319"/>
      <c r="G125" s="319">
        <f>ROUND(15.8/1.1,2)</f>
        <v>14.36</v>
      </c>
    </row>
    <row r="126" s="275" customFormat="1" spans="1:7">
      <c r="A126" s="316"/>
      <c r="B126" s="319"/>
      <c r="C126" s="317"/>
      <c r="D126" s="317"/>
      <c r="E126" s="317"/>
      <c r="F126" s="319"/>
      <c r="G126" s="319"/>
    </row>
    <row r="127" spans="1:7">
      <c r="A127" s="345" t="s">
        <v>214</v>
      </c>
      <c r="B127" s="346" t="s">
        <v>857</v>
      </c>
      <c r="C127" s="346" t="s">
        <v>897</v>
      </c>
      <c r="D127" s="349"/>
      <c r="E127" s="349"/>
      <c r="F127" s="346"/>
      <c r="G127" s="346"/>
    </row>
    <row r="128" spans="1:7">
      <c r="A128" s="324"/>
      <c r="B128" s="319">
        <v>0.5</v>
      </c>
      <c r="C128" s="317">
        <v>8.81</v>
      </c>
      <c r="D128" s="317"/>
      <c r="E128" s="317"/>
      <c r="F128" s="319"/>
      <c r="G128" s="319"/>
    </row>
    <row r="129" spans="1:7">
      <c r="A129" s="316"/>
      <c r="B129" s="318">
        <v>6.3</v>
      </c>
      <c r="C129" s="318">
        <v>8</v>
      </c>
      <c r="D129" s="318">
        <v>10</v>
      </c>
      <c r="E129" s="318">
        <v>12.5</v>
      </c>
      <c r="F129" s="318">
        <v>16</v>
      </c>
      <c r="G129" s="318" t="s">
        <v>898</v>
      </c>
    </row>
    <row r="130" spans="1:7">
      <c r="A130" s="316"/>
      <c r="B130" s="319">
        <f>ROUND(0.4/1.1,2)</f>
        <v>0.36</v>
      </c>
      <c r="C130" s="317">
        <f>ROUND(19.2/1.1,2)</f>
        <v>17.45</v>
      </c>
      <c r="D130" s="317"/>
      <c r="E130" s="317">
        <f>ROUND(B130*C130*D130,2)</f>
        <v>0</v>
      </c>
      <c r="F130" s="319"/>
      <c r="G130" s="319">
        <f>ROUND(7.7/1.1,2)</f>
        <v>7</v>
      </c>
    </row>
    <row r="131" s="275" customFormat="1" spans="1:7">
      <c r="A131" s="316"/>
      <c r="B131" s="319"/>
      <c r="C131" s="317"/>
      <c r="D131" s="317"/>
      <c r="E131" s="317"/>
      <c r="F131" s="319"/>
      <c r="G131" s="319"/>
    </row>
    <row r="132" spans="1:7">
      <c r="A132" s="345" t="s">
        <v>905</v>
      </c>
      <c r="B132" s="346" t="s">
        <v>857</v>
      </c>
      <c r="C132" s="346" t="s">
        <v>897</v>
      </c>
      <c r="D132" s="349"/>
      <c r="E132" s="349"/>
      <c r="F132" s="346"/>
      <c r="G132" s="346"/>
    </row>
    <row r="133" spans="1:7">
      <c r="A133" s="324"/>
      <c r="B133" s="319">
        <v>1.3</v>
      </c>
      <c r="C133" s="317">
        <v>11.31</v>
      </c>
      <c r="D133" s="317"/>
      <c r="E133" s="317"/>
      <c r="F133" s="319"/>
      <c r="G133" s="319"/>
    </row>
    <row r="134" spans="1:7">
      <c r="A134" s="316"/>
      <c r="B134" s="318">
        <v>6.3</v>
      </c>
      <c r="C134" s="318">
        <v>8</v>
      </c>
      <c r="D134" s="318">
        <v>10</v>
      </c>
      <c r="E134" s="318">
        <v>12.5</v>
      </c>
      <c r="F134" s="318">
        <v>16</v>
      </c>
      <c r="G134" s="318" t="s">
        <v>898</v>
      </c>
    </row>
    <row r="135" spans="1:7">
      <c r="A135" s="316"/>
      <c r="B135" s="319">
        <f>ROUND(21/1.1,2)</f>
        <v>19.09</v>
      </c>
      <c r="C135" s="317"/>
      <c r="D135" s="317"/>
      <c r="E135" s="317"/>
      <c r="F135" s="319"/>
      <c r="G135" s="319">
        <f>ROUND(10.4/1.1,2)</f>
        <v>9.45</v>
      </c>
    </row>
    <row r="136" s="275" customFormat="1" spans="1:7">
      <c r="A136" s="316"/>
      <c r="B136" s="319"/>
      <c r="C136" s="317"/>
      <c r="D136" s="317"/>
      <c r="E136" s="317"/>
      <c r="F136" s="319"/>
      <c r="G136" s="319"/>
    </row>
    <row r="137" spans="1:7">
      <c r="A137" s="341"/>
      <c r="B137" s="341"/>
      <c r="C137" s="342"/>
      <c r="D137" s="342"/>
      <c r="E137" s="342"/>
      <c r="F137" s="341"/>
      <c r="G137" s="341"/>
    </row>
    <row r="138" spans="1:7">
      <c r="A138" s="350" t="s">
        <v>906</v>
      </c>
      <c r="B138" s="351"/>
      <c r="C138" s="351"/>
      <c r="D138" s="351"/>
      <c r="E138" s="351"/>
      <c r="F138" s="351"/>
      <c r="G138" s="352"/>
    </row>
    <row r="139" ht="22.5" spans="1:7">
      <c r="A139" s="307" t="s">
        <v>907</v>
      </c>
      <c r="B139" s="229"/>
      <c r="C139" s="299"/>
      <c r="D139" s="300" t="s">
        <v>908</v>
      </c>
      <c r="E139" s="300" t="s">
        <v>835</v>
      </c>
      <c r="F139" s="300"/>
      <c r="G139" s="300" t="s">
        <v>909</v>
      </c>
    </row>
    <row r="140" spans="1:7">
      <c r="A140" s="297" t="s">
        <v>910</v>
      </c>
      <c r="B140" s="229"/>
      <c r="C140" s="299"/>
      <c r="D140" s="299">
        <f>G161</f>
        <v>229.19</v>
      </c>
      <c r="E140" s="299">
        <v>0.04</v>
      </c>
      <c r="F140" s="298"/>
      <c r="G140" s="300">
        <f>ROUND(E140*D140,2)</f>
        <v>9.17</v>
      </c>
    </row>
    <row r="141" spans="1:7">
      <c r="A141" s="353"/>
      <c r="B141" s="354"/>
      <c r="C141" s="355"/>
      <c r="D141" s="355"/>
      <c r="E141" s="355"/>
      <c r="F141" s="356"/>
      <c r="G141" s="357"/>
    </row>
    <row r="142" ht="21" spans="1:7">
      <c r="A142" s="307" t="s">
        <v>911</v>
      </c>
      <c r="B142" s="229"/>
      <c r="C142" s="299"/>
      <c r="D142" s="344"/>
      <c r="E142" s="358" t="s">
        <v>912</v>
      </c>
      <c r="F142" s="359"/>
      <c r="G142" s="358" t="s">
        <v>912</v>
      </c>
    </row>
    <row r="143" spans="1:7">
      <c r="A143" s="353" t="s">
        <v>913</v>
      </c>
      <c r="B143" s="229"/>
      <c r="C143" s="299"/>
      <c r="D143" s="299"/>
      <c r="E143" s="299">
        <v>49.56</v>
      </c>
      <c r="F143" s="356"/>
      <c r="G143" s="298">
        <f>E143</f>
        <v>49.56</v>
      </c>
    </row>
    <row r="144" spans="1:7">
      <c r="A144" s="353" t="s">
        <v>914</v>
      </c>
      <c r="B144" s="229"/>
      <c r="C144" s="299"/>
      <c r="D144" s="299"/>
      <c r="E144" s="299">
        <v>30.01</v>
      </c>
      <c r="F144" s="356"/>
      <c r="G144" s="298">
        <f t="shared" ref="G144:G160" si="7">E144</f>
        <v>30.01</v>
      </c>
    </row>
    <row r="145" spans="1:7">
      <c r="A145" s="353" t="s">
        <v>915</v>
      </c>
      <c r="B145" s="229"/>
      <c r="C145" s="299"/>
      <c r="D145" s="299"/>
      <c r="E145" s="299">
        <v>14.35</v>
      </c>
      <c r="F145" s="356"/>
      <c r="G145" s="298">
        <f t="shared" si="7"/>
        <v>14.35</v>
      </c>
    </row>
    <row r="146" spans="1:7">
      <c r="A146" s="353" t="s">
        <v>916</v>
      </c>
      <c r="B146" s="229"/>
      <c r="C146" s="299"/>
      <c r="D146" s="299"/>
      <c r="E146" s="299">
        <v>2.6</v>
      </c>
      <c r="F146" s="356"/>
      <c r="G146" s="298">
        <f t="shared" si="7"/>
        <v>2.6</v>
      </c>
    </row>
    <row r="147" spans="1:7">
      <c r="A147" s="353" t="s">
        <v>917</v>
      </c>
      <c r="B147" s="229"/>
      <c r="C147" s="299"/>
      <c r="D147" s="299"/>
      <c r="E147" s="299">
        <v>13.7</v>
      </c>
      <c r="F147" s="356"/>
      <c r="G147" s="298">
        <f t="shared" si="7"/>
        <v>13.7</v>
      </c>
    </row>
    <row r="148" spans="1:7">
      <c r="A148" s="353" t="s">
        <v>918</v>
      </c>
      <c r="B148" s="229"/>
      <c r="C148" s="299"/>
      <c r="D148" s="299"/>
      <c r="E148" s="299">
        <v>26.03</v>
      </c>
      <c r="F148" s="356"/>
      <c r="G148" s="298">
        <f t="shared" si="7"/>
        <v>26.03</v>
      </c>
    </row>
    <row r="149" spans="1:7">
      <c r="A149" s="353" t="s">
        <v>919</v>
      </c>
      <c r="B149" s="229"/>
      <c r="C149" s="299"/>
      <c r="D149" s="299"/>
      <c r="E149" s="299">
        <v>9</v>
      </c>
      <c r="F149" s="356"/>
      <c r="G149" s="298">
        <f t="shared" si="7"/>
        <v>9</v>
      </c>
    </row>
    <row r="150" spans="1:7">
      <c r="A150" s="353" t="s">
        <v>920</v>
      </c>
      <c r="B150" s="229"/>
      <c r="C150" s="299"/>
      <c r="D150" s="299"/>
      <c r="E150" s="299">
        <v>12.52</v>
      </c>
      <c r="F150" s="356"/>
      <c r="G150" s="298">
        <f t="shared" si="7"/>
        <v>12.52</v>
      </c>
    </row>
    <row r="151" spans="1:7">
      <c r="A151" s="353" t="s">
        <v>921</v>
      </c>
      <c r="B151" s="229"/>
      <c r="C151" s="299"/>
      <c r="D151" s="299"/>
      <c r="E151" s="299">
        <v>2.25</v>
      </c>
      <c r="F151" s="356"/>
      <c r="G151" s="298">
        <f t="shared" si="7"/>
        <v>2.25</v>
      </c>
    </row>
    <row r="152" spans="1:7">
      <c r="A152" s="353" t="s">
        <v>922</v>
      </c>
      <c r="B152" s="229"/>
      <c r="C152" s="299"/>
      <c r="D152" s="299"/>
      <c r="E152" s="299">
        <v>2.47</v>
      </c>
      <c r="F152" s="356"/>
      <c r="G152" s="298">
        <f t="shared" si="7"/>
        <v>2.47</v>
      </c>
    </row>
    <row r="153" spans="1:7">
      <c r="A153" s="353" t="s">
        <v>923</v>
      </c>
      <c r="B153" s="229"/>
      <c r="C153" s="299"/>
      <c r="D153" s="299"/>
      <c r="E153" s="299">
        <v>7.81</v>
      </c>
      <c r="F153" s="356"/>
      <c r="G153" s="298">
        <f t="shared" si="7"/>
        <v>7.81</v>
      </c>
    </row>
    <row r="154" spans="1:7">
      <c r="A154" s="353" t="s">
        <v>924</v>
      </c>
      <c r="B154" s="229"/>
      <c r="C154" s="299"/>
      <c r="D154" s="299"/>
      <c r="E154" s="299">
        <v>7.81</v>
      </c>
      <c r="F154" s="356"/>
      <c r="G154" s="298">
        <f t="shared" si="7"/>
        <v>7.81</v>
      </c>
    </row>
    <row r="155" spans="1:7">
      <c r="A155" s="353" t="s">
        <v>925</v>
      </c>
      <c r="B155" s="229"/>
      <c r="C155" s="299"/>
      <c r="D155" s="299"/>
      <c r="E155" s="299">
        <v>14.1</v>
      </c>
      <c r="F155" s="356"/>
      <c r="G155" s="298">
        <f t="shared" si="7"/>
        <v>14.1</v>
      </c>
    </row>
    <row r="156" spans="1:7">
      <c r="A156" s="353" t="s">
        <v>926</v>
      </c>
      <c r="B156" s="229"/>
      <c r="C156" s="299"/>
      <c r="D156" s="299"/>
      <c r="E156" s="299">
        <v>2.6</v>
      </c>
      <c r="F156" s="356"/>
      <c r="G156" s="298">
        <f t="shared" si="7"/>
        <v>2.6</v>
      </c>
    </row>
    <row r="157" spans="1:7">
      <c r="A157" s="353" t="s">
        <v>927</v>
      </c>
      <c r="B157" s="229"/>
      <c r="C157" s="299"/>
      <c r="D157" s="299"/>
      <c r="E157" s="299">
        <v>14.49</v>
      </c>
      <c r="F157" s="356"/>
      <c r="G157" s="298">
        <f t="shared" si="7"/>
        <v>14.49</v>
      </c>
    </row>
    <row r="158" spans="1:7">
      <c r="A158" s="353" t="s">
        <v>928</v>
      </c>
      <c r="B158" s="229"/>
      <c r="C158" s="299"/>
      <c r="D158" s="299"/>
      <c r="E158" s="299">
        <v>7.05</v>
      </c>
      <c r="F158" s="356"/>
      <c r="G158" s="298">
        <f t="shared" si="7"/>
        <v>7.05</v>
      </c>
    </row>
    <row r="159" spans="1:7">
      <c r="A159" s="353" t="s">
        <v>929</v>
      </c>
      <c r="B159" s="229"/>
      <c r="C159" s="299"/>
      <c r="D159" s="299"/>
      <c r="E159" s="299">
        <v>4.42</v>
      </c>
      <c r="F159" s="356"/>
      <c r="G159" s="298">
        <f t="shared" si="7"/>
        <v>4.42</v>
      </c>
    </row>
    <row r="160" spans="1:7">
      <c r="A160" s="353" t="s">
        <v>930</v>
      </c>
      <c r="B160" s="229"/>
      <c r="C160" s="299"/>
      <c r="D160" s="299"/>
      <c r="E160" s="299">
        <v>8.42</v>
      </c>
      <c r="F160" s="356"/>
      <c r="G160" s="298">
        <f t="shared" si="7"/>
        <v>8.42</v>
      </c>
    </row>
    <row r="161" spans="1:7">
      <c r="A161" s="360"/>
      <c r="B161" s="225"/>
      <c r="C161" s="361"/>
      <c r="D161" s="361"/>
      <c r="E161" s="362" t="s">
        <v>734</v>
      </c>
      <c r="F161" s="363"/>
      <c r="G161" s="364">
        <f>SUM(G143:G160)</f>
        <v>229.19</v>
      </c>
    </row>
    <row r="162" spans="1:7">
      <c r="A162" s="360"/>
      <c r="B162" s="225"/>
      <c r="C162" s="361"/>
      <c r="D162" s="361"/>
      <c r="E162" s="365"/>
      <c r="F162" s="366" t="s">
        <v>835</v>
      </c>
      <c r="G162" s="366">
        <v>0.08</v>
      </c>
    </row>
    <row r="163" spans="1:7">
      <c r="A163" s="360"/>
      <c r="B163" s="225"/>
      <c r="C163" s="361"/>
      <c r="D163" s="361"/>
      <c r="E163" s="362" t="s">
        <v>931</v>
      </c>
      <c r="F163" s="363"/>
      <c r="G163" s="364">
        <f>ROUND(G161*G162,2)</f>
        <v>18.34</v>
      </c>
    </row>
    <row r="164" spans="1:7">
      <c r="A164" s="360"/>
      <c r="B164" s="225"/>
      <c r="C164" s="361"/>
      <c r="D164" s="361"/>
      <c r="E164" s="361"/>
      <c r="F164" s="366"/>
      <c r="G164" s="366"/>
    </row>
    <row r="165" spans="1:7">
      <c r="A165" s="367" t="s">
        <v>932</v>
      </c>
      <c r="B165" s="368"/>
      <c r="C165" s="369"/>
      <c r="D165" s="369"/>
      <c r="E165" s="370" t="s">
        <v>933</v>
      </c>
      <c r="F165" s="371"/>
      <c r="G165" s="372" t="s">
        <v>734</v>
      </c>
    </row>
    <row r="166" spans="1:7">
      <c r="A166" s="367" t="s">
        <v>934</v>
      </c>
      <c r="B166" s="368"/>
      <c r="C166" s="369"/>
      <c r="D166" s="369"/>
      <c r="E166" s="370"/>
      <c r="F166" s="371"/>
      <c r="G166" s="372"/>
    </row>
    <row r="167" spans="1:7">
      <c r="A167" s="353" t="s">
        <v>913</v>
      </c>
      <c r="B167" s="229"/>
      <c r="C167" s="299"/>
      <c r="D167" s="299"/>
      <c r="E167" s="299">
        <v>49.56</v>
      </c>
      <c r="F167" s="298"/>
      <c r="G167" s="298">
        <f t="shared" ref="G167:G174" si="8">E167</f>
        <v>49.56</v>
      </c>
    </row>
    <row r="168" spans="1:7">
      <c r="A168" s="353" t="s">
        <v>914</v>
      </c>
      <c r="B168" s="229"/>
      <c r="C168" s="299"/>
      <c r="D168" s="299"/>
      <c r="E168" s="299">
        <v>30.01</v>
      </c>
      <c r="F168" s="298"/>
      <c r="G168" s="298">
        <f t="shared" si="8"/>
        <v>30.01</v>
      </c>
    </row>
    <row r="169" spans="1:7">
      <c r="A169" s="353" t="s">
        <v>915</v>
      </c>
      <c r="B169" s="229"/>
      <c r="C169" s="299"/>
      <c r="D169" s="299"/>
      <c r="E169" s="299">
        <v>14.35</v>
      </c>
      <c r="F169" s="298"/>
      <c r="G169" s="298">
        <f t="shared" si="8"/>
        <v>14.35</v>
      </c>
    </row>
    <row r="170" spans="1:7">
      <c r="A170" s="353" t="s">
        <v>917</v>
      </c>
      <c r="B170" s="229"/>
      <c r="C170" s="299"/>
      <c r="D170" s="299"/>
      <c r="E170" s="299">
        <v>13.7</v>
      </c>
      <c r="F170" s="298"/>
      <c r="G170" s="298">
        <f t="shared" si="8"/>
        <v>13.7</v>
      </c>
    </row>
    <row r="171" spans="1:7">
      <c r="A171" s="353" t="s">
        <v>918</v>
      </c>
      <c r="B171" s="229"/>
      <c r="C171" s="299"/>
      <c r="D171" s="299"/>
      <c r="E171" s="299">
        <v>26.03</v>
      </c>
      <c r="F171" s="298"/>
      <c r="G171" s="298">
        <f t="shared" si="8"/>
        <v>26.03</v>
      </c>
    </row>
    <row r="172" spans="1:7">
      <c r="A172" s="353" t="s">
        <v>925</v>
      </c>
      <c r="B172" s="229"/>
      <c r="C172" s="299"/>
      <c r="D172" s="299"/>
      <c r="E172" s="299">
        <v>14.1</v>
      </c>
      <c r="F172" s="298"/>
      <c r="G172" s="298">
        <f t="shared" si="8"/>
        <v>14.1</v>
      </c>
    </row>
    <row r="173" spans="1:7">
      <c r="A173" s="297" t="s">
        <v>927</v>
      </c>
      <c r="B173" s="229"/>
      <c r="C173" s="299"/>
      <c r="D173" s="299"/>
      <c r="E173" s="299">
        <v>14.49</v>
      </c>
      <c r="F173" s="298"/>
      <c r="G173" s="298">
        <f t="shared" si="8"/>
        <v>14.49</v>
      </c>
    </row>
    <row r="174" spans="1:7">
      <c r="A174" s="353" t="s">
        <v>920</v>
      </c>
      <c r="B174" s="229"/>
      <c r="C174" s="299"/>
      <c r="D174" s="299"/>
      <c r="E174" s="299">
        <v>12.52</v>
      </c>
      <c r="F174" s="298"/>
      <c r="G174" s="298">
        <f t="shared" si="8"/>
        <v>12.52</v>
      </c>
    </row>
    <row r="175" spans="1:7">
      <c r="A175" s="360"/>
      <c r="B175" s="225"/>
      <c r="C175" s="361"/>
      <c r="D175" s="361"/>
      <c r="E175" s="373" t="s">
        <v>734</v>
      </c>
      <c r="F175" s="363"/>
      <c r="G175" s="364">
        <f>SUM(G167:G174)</f>
        <v>174.76</v>
      </c>
    </row>
    <row r="176" spans="1:7">
      <c r="A176" s="374" t="s">
        <v>935</v>
      </c>
      <c r="B176" s="368"/>
      <c r="C176" s="369"/>
      <c r="D176" s="369"/>
      <c r="E176" s="370" t="s">
        <v>933</v>
      </c>
      <c r="F176" s="371"/>
      <c r="G176" s="372" t="s">
        <v>734</v>
      </c>
    </row>
    <row r="177" spans="1:7">
      <c r="A177" s="353" t="s">
        <v>921</v>
      </c>
      <c r="B177" s="229"/>
      <c r="C177" s="299"/>
      <c r="D177" s="299"/>
      <c r="E177" s="299">
        <v>2.25</v>
      </c>
      <c r="F177" s="298"/>
      <c r="G177" s="298">
        <f t="shared" ref="G177:G181" si="9">E177</f>
        <v>2.25</v>
      </c>
    </row>
    <row r="178" spans="1:7">
      <c r="A178" s="353" t="s">
        <v>926</v>
      </c>
      <c r="B178" s="229"/>
      <c r="C178" s="299"/>
      <c r="D178" s="299"/>
      <c r="E178" s="299">
        <v>2.6</v>
      </c>
      <c r="F178" s="298"/>
      <c r="G178" s="298">
        <f t="shared" si="9"/>
        <v>2.6</v>
      </c>
    </row>
    <row r="179" spans="1:7">
      <c r="A179" s="353" t="s">
        <v>922</v>
      </c>
      <c r="B179" s="229"/>
      <c r="C179" s="299"/>
      <c r="D179" s="299"/>
      <c r="E179" s="299">
        <v>2.47</v>
      </c>
      <c r="F179" s="298"/>
      <c r="G179" s="298">
        <f t="shared" si="9"/>
        <v>2.47</v>
      </c>
    </row>
    <row r="180" spans="1:7">
      <c r="A180" s="353" t="s">
        <v>916</v>
      </c>
      <c r="B180" s="229"/>
      <c r="C180" s="299"/>
      <c r="D180" s="299"/>
      <c r="E180" s="299">
        <v>2.6</v>
      </c>
      <c r="F180" s="298"/>
      <c r="G180" s="298">
        <f t="shared" si="9"/>
        <v>2.6</v>
      </c>
    </row>
    <row r="181" spans="1:7">
      <c r="A181" s="353" t="s">
        <v>929</v>
      </c>
      <c r="B181" s="229"/>
      <c r="C181" s="299"/>
      <c r="D181" s="299"/>
      <c r="E181" s="299">
        <v>4.42</v>
      </c>
      <c r="F181" s="298"/>
      <c r="G181" s="298">
        <f t="shared" si="9"/>
        <v>4.42</v>
      </c>
    </row>
    <row r="182" spans="1:7">
      <c r="A182" s="375"/>
      <c r="B182" s="225"/>
      <c r="C182" s="361"/>
      <c r="D182" s="361"/>
      <c r="E182" s="376" t="s">
        <v>734</v>
      </c>
      <c r="F182" s="376"/>
      <c r="G182" s="377">
        <f>SUM(G177:G181)</f>
        <v>14.34</v>
      </c>
    </row>
    <row r="183" spans="1:7">
      <c r="A183" s="374" t="s">
        <v>936</v>
      </c>
      <c r="B183" s="368"/>
      <c r="C183" s="369"/>
      <c r="D183" s="369"/>
      <c r="E183" s="370" t="s">
        <v>933</v>
      </c>
      <c r="F183" s="371"/>
      <c r="G183" s="372" t="s">
        <v>734</v>
      </c>
    </row>
    <row r="184" spans="1:7">
      <c r="A184" s="353" t="s">
        <v>919</v>
      </c>
      <c r="B184" s="229"/>
      <c r="C184" s="299"/>
      <c r="D184" s="299"/>
      <c r="E184" s="299">
        <v>9</v>
      </c>
      <c r="F184" s="298"/>
      <c r="G184" s="298">
        <f>E184</f>
        <v>9</v>
      </c>
    </row>
    <row r="185" spans="1:7">
      <c r="A185" s="353" t="s">
        <v>923</v>
      </c>
      <c r="B185" s="229"/>
      <c r="C185" s="299"/>
      <c r="D185" s="299"/>
      <c r="E185" s="299">
        <v>7.81</v>
      </c>
      <c r="F185" s="298"/>
      <c r="G185" s="298">
        <f>E185</f>
        <v>7.81</v>
      </c>
    </row>
    <row r="186" spans="1:7">
      <c r="A186" s="353" t="s">
        <v>924</v>
      </c>
      <c r="B186" s="229"/>
      <c r="C186" s="299"/>
      <c r="D186" s="299"/>
      <c r="E186" s="299">
        <v>7.81</v>
      </c>
      <c r="F186" s="298"/>
      <c r="G186" s="298">
        <f>E186</f>
        <v>7.81</v>
      </c>
    </row>
    <row r="187" spans="1:7">
      <c r="A187" s="353" t="s">
        <v>930</v>
      </c>
      <c r="B187" s="229"/>
      <c r="C187" s="299"/>
      <c r="D187" s="299"/>
      <c r="E187" s="299">
        <v>8.42</v>
      </c>
      <c r="F187" s="298"/>
      <c r="G187" s="298">
        <f>E187</f>
        <v>8.42</v>
      </c>
    </row>
    <row r="188" spans="1:7">
      <c r="A188" s="353" t="s">
        <v>928</v>
      </c>
      <c r="B188" s="229"/>
      <c r="C188" s="299"/>
      <c r="D188" s="299"/>
      <c r="E188" s="299">
        <v>7.05</v>
      </c>
      <c r="F188" s="298"/>
      <c r="G188" s="298">
        <f>E188</f>
        <v>7.05</v>
      </c>
    </row>
    <row r="189" spans="1:7">
      <c r="A189" s="225"/>
      <c r="B189" s="225"/>
      <c r="C189" s="378"/>
      <c r="D189" s="378"/>
      <c r="E189" s="376" t="s">
        <v>734</v>
      </c>
      <c r="F189" s="376"/>
      <c r="G189" s="377">
        <f>SUM(G184:G188)</f>
        <v>40.09</v>
      </c>
    </row>
    <row r="190" spans="1:7">
      <c r="A190" s="225"/>
      <c r="B190" s="225"/>
      <c r="C190" s="378"/>
      <c r="D190" s="378"/>
      <c r="E190" s="378"/>
      <c r="F190" s="225"/>
      <c r="G190" s="225"/>
    </row>
    <row r="191" spans="1:7">
      <c r="A191" s="367" t="s">
        <v>937</v>
      </c>
      <c r="B191" s="368"/>
      <c r="C191" s="369"/>
      <c r="D191" s="379" t="s">
        <v>835</v>
      </c>
      <c r="E191" s="370" t="s">
        <v>938</v>
      </c>
      <c r="F191" s="371"/>
      <c r="G191" s="372" t="s">
        <v>939</v>
      </c>
    </row>
    <row r="192" spans="1:7">
      <c r="A192" s="297" t="s">
        <v>234</v>
      </c>
      <c r="B192" s="229"/>
      <c r="C192" s="299"/>
      <c r="D192" s="299">
        <v>0.3</v>
      </c>
      <c r="E192" s="299">
        <v>8.58</v>
      </c>
      <c r="F192" s="298"/>
      <c r="G192" s="298">
        <f>ROUND(E192*D192,2)</f>
        <v>2.57</v>
      </c>
    </row>
    <row r="193" spans="1:7">
      <c r="A193" s="297" t="s">
        <v>940</v>
      </c>
      <c r="B193" s="229"/>
      <c r="C193" s="299"/>
      <c r="D193" s="299">
        <v>0.3</v>
      </c>
      <c r="E193" s="299">
        <f>E192</f>
        <v>8.58</v>
      </c>
      <c r="F193" s="298"/>
      <c r="G193" s="298">
        <f>ROUND(E193*D193,2)</f>
        <v>2.57</v>
      </c>
    </row>
    <row r="194" spans="1:7">
      <c r="A194" s="297" t="s">
        <v>941</v>
      </c>
      <c r="B194" s="229"/>
      <c r="C194" s="299"/>
      <c r="D194" s="299">
        <v>0.08</v>
      </c>
      <c r="E194" s="299">
        <f>E193</f>
        <v>8.58</v>
      </c>
      <c r="F194" s="298"/>
      <c r="G194" s="298">
        <f>E194*D194</f>
        <v>0.6864</v>
      </c>
    </row>
    <row r="195" spans="1:7">
      <c r="A195" s="297" t="s">
        <v>942</v>
      </c>
      <c r="B195" s="229"/>
      <c r="C195" s="299"/>
      <c r="D195" s="299"/>
      <c r="E195" s="299">
        <f>E193</f>
        <v>8.58</v>
      </c>
      <c r="F195" s="298"/>
      <c r="G195" s="298"/>
    </row>
    <row r="196" spans="1:7">
      <c r="A196" s="297" t="s">
        <v>943</v>
      </c>
      <c r="B196" s="229"/>
      <c r="C196" s="299"/>
      <c r="D196" s="299"/>
      <c r="E196" s="299">
        <f>E193</f>
        <v>8.58</v>
      </c>
      <c r="F196" s="298"/>
      <c r="G196" s="298"/>
    </row>
    <row r="197" spans="1:7">
      <c r="A197" s="225"/>
      <c r="B197" s="225"/>
      <c r="C197" s="378"/>
      <c r="D197" s="378"/>
      <c r="E197" s="378"/>
      <c r="F197" s="225"/>
      <c r="G197" s="225"/>
    </row>
    <row r="198" spans="1:7">
      <c r="A198" s="290" t="s">
        <v>944</v>
      </c>
      <c r="B198" s="291"/>
      <c r="C198" s="291"/>
      <c r="D198" s="291"/>
      <c r="E198" s="291"/>
      <c r="F198" s="291"/>
      <c r="G198" s="292"/>
    </row>
    <row r="199" ht="21" spans="1:7">
      <c r="A199" s="293" t="s">
        <v>807</v>
      </c>
      <c r="B199" s="294"/>
      <c r="C199" s="295"/>
      <c r="D199" s="294" t="s">
        <v>816</v>
      </c>
      <c r="E199" s="294" t="s">
        <v>817</v>
      </c>
      <c r="F199" s="380" t="s">
        <v>945</v>
      </c>
      <c r="G199" s="296" t="s">
        <v>933</v>
      </c>
    </row>
    <row r="200" spans="1:7">
      <c r="A200" s="381" t="s">
        <v>946</v>
      </c>
      <c r="B200" s="298"/>
      <c r="C200" s="382"/>
      <c r="D200" s="299">
        <v>6.97</v>
      </c>
      <c r="E200" s="299">
        <v>3.15</v>
      </c>
      <c r="F200" s="298">
        <f>1.6*2.1+2*1.15</f>
        <v>5.66</v>
      </c>
      <c r="G200" s="298">
        <f>ROUND(D200*E200,2)-F200</f>
        <v>16.3</v>
      </c>
    </row>
    <row r="201" spans="1:7">
      <c r="A201" s="381" t="s">
        <v>947</v>
      </c>
      <c r="B201" s="298"/>
      <c r="C201" s="382"/>
      <c r="D201" s="299">
        <v>1.8</v>
      </c>
      <c r="E201" s="299">
        <v>3.15</v>
      </c>
      <c r="F201" s="357"/>
      <c r="G201" s="298">
        <f t="shared" ref="G201:G232" si="10">ROUND(D201*E201,2)-F201</f>
        <v>5.67</v>
      </c>
    </row>
    <row r="202" spans="1:7">
      <c r="A202" s="381" t="s">
        <v>948</v>
      </c>
      <c r="B202" s="298"/>
      <c r="C202" s="382"/>
      <c r="D202" s="299">
        <v>4.5</v>
      </c>
      <c r="E202" s="299">
        <f>3.5-0.6</f>
        <v>2.9</v>
      </c>
      <c r="F202" s="357"/>
      <c r="G202" s="298">
        <f t="shared" si="10"/>
        <v>13.05</v>
      </c>
    </row>
    <row r="203" spans="1:7">
      <c r="A203" s="381" t="s">
        <v>949</v>
      </c>
      <c r="B203" s="298"/>
      <c r="C203" s="382"/>
      <c r="D203" s="299">
        <v>14.2</v>
      </c>
      <c r="E203" s="299">
        <v>3.15</v>
      </c>
      <c r="F203" s="357">
        <f>1*0.3*4+2*1.15*2</f>
        <v>5.8</v>
      </c>
      <c r="G203" s="298">
        <f t="shared" si="10"/>
        <v>38.93</v>
      </c>
    </row>
    <row r="204" spans="1:7">
      <c r="A204" s="381" t="s">
        <v>950</v>
      </c>
      <c r="B204" s="298"/>
      <c r="C204" s="382"/>
      <c r="D204" s="299">
        <v>22.795</v>
      </c>
      <c r="E204" s="299">
        <v>3.15</v>
      </c>
      <c r="F204" s="357">
        <v>9.985</v>
      </c>
      <c r="G204" s="298">
        <f t="shared" si="10"/>
        <v>61.815</v>
      </c>
    </row>
    <row r="205" spans="1:7">
      <c r="A205" s="381" t="s">
        <v>951</v>
      </c>
      <c r="B205" s="298"/>
      <c r="C205" s="382"/>
      <c r="D205" s="299">
        <v>8.25</v>
      </c>
      <c r="E205" s="299">
        <v>3.15</v>
      </c>
      <c r="F205" s="357">
        <f>1.5*1.15*2+1.6*2.1</f>
        <v>6.81</v>
      </c>
      <c r="G205" s="298">
        <f t="shared" si="10"/>
        <v>19.18</v>
      </c>
    </row>
    <row r="206" spans="1:7">
      <c r="A206" s="381" t="s">
        <v>952</v>
      </c>
      <c r="B206" s="298"/>
      <c r="C206" s="382"/>
      <c r="D206" s="299">
        <v>11.3</v>
      </c>
      <c r="E206" s="299">
        <v>3.15</v>
      </c>
      <c r="F206" s="357">
        <f>2*1.5*1.15</f>
        <v>3.45</v>
      </c>
      <c r="G206" s="298">
        <f t="shared" si="10"/>
        <v>32.15</v>
      </c>
    </row>
    <row r="207" spans="1:7">
      <c r="A207" s="381" t="s">
        <v>953</v>
      </c>
      <c r="B207" s="298"/>
      <c r="C207" s="382"/>
      <c r="D207" s="299">
        <v>4</v>
      </c>
      <c r="E207" s="299">
        <f>3.5-0.6</f>
        <v>2.9</v>
      </c>
      <c r="F207" s="357">
        <f>2*1.15</f>
        <v>2.3</v>
      </c>
      <c r="G207" s="298">
        <f t="shared" si="10"/>
        <v>9.3</v>
      </c>
    </row>
    <row r="208" spans="1:7">
      <c r="A208" s="381" t="s">
        <v>954</v>
      </c>
      <c r="B208" s="298"/>
      <c r="C208" s="382"/>
      <c r="D208" s="299">
        <v>1.2</v>
      </c>
      <c r="E208" s="299">
        <v>3.15</v>
      </c>
      <c r="F208" s="357">
        <f>0.8*2.1</f>
        <v>1.68</v>
      </c>
      <c r="G208" s="298">
        <f t="shared" si="10"/>
        <v>2.1</v>
      </c>
    </row>
    <row r="209" spans="1:7">
      <c r="A209" s="381" t="s">
        <v>955</v>
      </c>
      <c r="B209" s="298"/>
      <c r="C209" s="382"/>
      <c r="D209" s="299">
        <v>4.35</v>
      </c>
      <c r="E209" s="299">
        <v>3.15</v>
      </c>
      <c r="F209" s="357">
        <f>0.9*2.1</f>
        <v>1.89</v>
      </c>
      <c r="G209" s="298">
        <f t="shared" si="10"/>
        <v>11.81</v>
      </c>
    </row>
    <row r="210" spans="1:7">
      <c r="A210" s="381" t="s">
        <v>956</v>
      </c>
      <c r="B210" s="298"/>
      <c r="C210" s="382"/>
      <c r="D210" s="299">
        <v>2.85</v>
      </c>
      <c r="E210" s="299">
        <v>3.15</v>
      </c>
      <c r="F210" s="357"/>
      <c r="G210" s="298">
        <f t="shared" si="10"/>
        <v>8.98</v>
      </c>
    </row>
    <row r="211" spans="1:7">
      <c r="A211" s="381" t="s">
        <v>957</v>
      </c>
      <c r="B211" s="298"/>
      <c r="C211" s="382"/>
      <c r="D211" s="299">
        <v>2.85</v>
      </c>
      <c r="E211" s="299">
        <v>3.15</v>
      </c>
      <c r="F211" s="357"/>
      <c r="G211" s="298">
        <f t="shared" si="10"/>
        <v>8.98</v>
      </c>
    </row>
    <row r="212" spans="1:7">
      <c r="A212" s="381" t="s">
        <v>958</v>
      </c>
      <c r="B212" s="298"/>
      <c r="C212" s="382"/>
      <c r="D212" s="299">
        <v>1.2</v>
      </c>
      <c r="E212" s="299">
        <v>3.15</v>
      </c>
      <c r="F212" s="357">
        <v>1.68</v>
      </c>
      <c r="G212" s="298">
        <f t="shared" si="10"/>
        <v>2.1</v>
      </c>
    </row>
    <row r="213" spans="1:7">
      <c r="A213" s="381" t="s">
        <v>959</v>
      </c>
      <c r="B213" s="298"/>
      <c r="C213" s="382"/>
      <c r="D213" s="299">
        <v>4.2</v>
      </c>
      <c r="E213" s="299">
        <v>3.15</v>
      </c>
      <c r="F213" s="357"/>
      <c r="G213" s="298">
        <f t="shared" si="10"/>
        <v>13.23</v>
      </c>
    </row>
    <row r="214" spans="1:7">
      <c r="A214" s="381" t="s">
        <v>960</v>
      </c>
      <c r="B214" s="298"/>
      <c r="C214" s="382"/>
      <c r="D214" s="299">
        <v>12.4</v>
      </c>
      <c r="E214" s="299">
        <v>3.15</v>
      </c>
      <c r="F214" s="357">
        <v>7.455</v>
      </c>
      <c r="G214" s="298">
        <f t="shared" si="10"/>
        <v>31.605</v>
      </c>
    </row>
    <row r="215" spans="1:7">
      <c r="A215" s="381" t="s">
        <v>961</v>
      </c>
      <c r="B215" s="298"/>
      <c r="C215" s="382"/>
      <c r="D215" s="299">
        <v>12.25</v>
      </c>
      <c r="E215" s="299">
        <v>3.15</v>
      </c>
      <c r="F215" s="357">
        <v>3.36</v>
      </c>
      <c r="G215" s="298">
        <f t="shared" si="10"/>
        <v>35.23</v>
      </c>
    </row>
    <row r="216" spans="1:7">
      <c r="A216" s="381" t="s">
        <v>962</v>
      </c>
      <c r="B216" s="298"/>
      <c r="C216" s="382"/>
      <c r="D216" s="299">
        <v>1.3</v>
      </c>
      <c r="E216" s="299">
        <v>3.15</v>
      </c>
      <c r="F216" s="357"/>
      <c r="G216" s="298">
        <f t="shared" si="10"/>
        <v>4.1</v>
      </c>
    </row>
    <row r="217" spans="1:7">
      <c r="A217" s="381" t="s">
        <v>884</v>
      </c>
      <c r="B217" s="298"/>
      <c r="C217" s="382"/>
      <c r="D217" s="299">
        <v>2.15</v>
      </c>
      <c r="E217" s="299">
        <v>3.15</v>
      </c>
      <c r="F217" s="357">
        <f>0.8*2.1</f>
        <v>1.68</v>
      </c>
      <c r="G217" s="298">
        <f t="shared" si="10"/>
        <v>5.09</v>
      </c>
    </row>
    <row r="218" spans="1:7">
      <c r="A218" s="381" t="s">
        <v>963</v>
      </c>
      <c r="B218" s="298"/>
      <c r="C218" s="382"/>
      <c r="D218" s="299">
        <v>13.775</v>
      </c>
      <c r="E218" s="299">
        <v>3.15</v>
      </c>
      <c r="F218" s="357">
        <f>0.8*2.1*2+1.475*2.1</f>
        <v>6.4575</v>
      </c>
      <c r="G218" s="298">
        <f t="shared" si="10"/>
        <v>36.9325</v>
      </c>
    </row>
    <row r="219" spans="1:7">
      <c r="A219" s="381" t="s">
        <v>964</v>
      </c>
      <c r="B219" s="298"/>
      <c r="C219" s="382"/>
      <c r="D219" s="299">
        <v>4.1</v>
      </c>
      <c r="E219" s="299">
        <v>3.15</v>
      </c>
      <c r="F219" s="357">
        <f>0.8*2.1</f>
        <v>1.68</v>
      </c>
      <c r="G219" s="298">
        <f t="shared" si="10"/>
        <v>11.24</v>
      </c>
    </row>
    <row r="220" spans="1:7">
      <c r="A220" s="381" t="s">
        <v>965</v>
      </c>
      <c r="B220" s="298"/>
      <c r="C220" s="382"/>
      <c r="D220" s="299">
        <v>1.3</v>
      </c>
      <c r="E220" s="299">
        <v>3.15</v>
      </c>
      <c r="F220" s="357"/>
      <c r="G220" s="298">
        <f t="shared" si="10"/>
        <v>4.1</v>
      </c>
    </row>
    <row r="221" spans="1:7">
      <c r="A221" s="381" t="s">
        <v>966</v>
      </c>
      <c r="B221" s="298"/>
      <c r="C221" s="382"/>
      <c r="D221" s="299">
        <v>2.15</v>
      </c>
      <c r="E221" s="299">
        <v>3.15</v>
      </c>
      <c r="F221" s="357">
        <v>1.68</v>
      </c>
      <c r="G221" s="298">
        <f t="shared" si="10"/>
        <v>5.09</v>
      </c>
    </row>
    <row r="222" spans="1:7">
      <c r="A222" s="381" t="s">
        <v>967</v>
      </c>
      <c r="B222" s="298"/>
      <c r="C222" s="382"/>
      <c r="D222" s="299">
        <v>4.1</v>
      </c>
      <c r="E222" s="299">
        <v>3.15</v>
      </c>
      <c r="F222" s="357"/>
      <c r="G222" s="298">
        <f t="shared" si="10"/>
        <v>12.92</v>
      </c>
    </row>
    <row r="223" spans="1:7">
      <c r="A223" s="381" t="s">
        <v>968</v>
      </c>
      <c r="B223" s="298"/>
      <c r="C223" s="382"/>
      <c r="D223" s="299">
        <v>1.5</v>
      </c>
      <c r="E223" s="299">
        <v>3.15</v>
      </c>
      <c r="F223" s="357">
        <f>0.8*2.1</f>
        <v>1.68</v>
      </c>
      <c r="G223" s="298">
        <f t="shared" si="10"/>
        <v>3.05</v>
      </c>
    </row>
    <row r="224" spans="1:7">
      <c r="A224" s="381" t="s">
        <v>969</v>
      </c>
      <c r="B224" s="298"/>
      <c r="C224" s="382"/>
      <c r="D224" s="299">
        <v>1.5</v>
      </c>
      <c r="E224" s="299">
        <v>3.15</v>
      </c>
      <c r="F224" s="357">
        <v>0.3</v>
      </c>
      <c r="G224" s="298">
        <f t="shared" si="10"/>
        <v>4.43</v>
      </c>
    </row>
    <row r="225" spans="1:7">
      <c r="A225" s="297" t="s">
        <v>885</v>
      </c>
      <c r="B225" s="298"/>
      <c r="C225" s="299"/>
      <c r="D225" s="299">
        <v>3.45</v>
      </c>
      <c r="E225" s="299">
        <v>3.15</v>
      </c>
      <c r="F225" s="298"/>
      <c r="G225" s="298">
        <f t="shared" si="10"/>
        <v>10.87</v>
      </c>
    </row>
    <row r="226" spans="1:7">
      <c r="A226" s="297" t="s">
        <v>970</v>
      </c>
      <c r="B226" s="298"/>
      <c r="C226" s="299"/>
      <c r="D226" s="299">
        <v>3.45</v>
      </c>
      <c r="E226" s="299">
        <v>3.15</v>
      </c>
      <c r="F226" s="298"/>
      <c r="G226" s="298">
        <f t="shared" si="10"/>
        <v>10.87</v>
      </c>
    </row>
    <row r="227" spans="1:7">
      <c r="A227" s="297" t="s">
        <v>971</v>
      </c>
      <c r="B227" s="298"/>
      <c r="C227" s="299"/>
      <c r="D227" s="299">
        <v>2.725</v>
      </c>
      <c r="E227" s="299">
        <v>3.15</v>
      </c>
      <c r="F227" s="298">
        <f>0.8*2.1</f>
        <v>1.68</v>
      </c>
      <c r="G227" s="298">
        <f t="shared" ref="G227:G230" si="11">ROUND(D227*E227,2)-F227</f>
        <v>6.9</v>
      </c>
    </row>
    <row r="228" spans="1:7">
      <c r="A228" s="297" t="s">
        <v>972</v>
      </c>
      <c r="B228" s="298"/>
      <c r="C228" s="299"/>
      <c r="D228" s="299">
        <v>8.25</v>
      </c>
      <c r="E228" s="299">
        <v>3.15</v>
      </c>
      <c r="F228" s="298">
        <f>1.6*2.1</f>
        <v>3.36</v>
      </c>
      <c r="G228" s="298">
        <f t="shared" si="11"/>
        <v>22.63</v>
      </c>
    </row>
    <row r="229" spans="1:7">
      <c r="A229" s="297" t="s">
        <v>973</v>
      </c>
      <c r="B229" s="298"/>
      <c r="C229" s="299"/>
      <c r="D229" s="299">
        <v>2.35</v>
      </c>
      <c r="E229" s="299">
        <v>3.15</v>
      </c>
      <c r="F229" s="298"/>
      <c r="G229" s="298">
        <f t="shared" si="11"/>
        <v>7.4</v>
      </c>
    </row>
    <row r="230" spans="1:7">
      <c r="A230" s="297" t="s">
        <v>974</v>
      </c>
      <c r="B230" s="298"/>
      <c r="C230" s="299"/>
      <c r="D230" s="299">
        <v>2.35</v>
      </c>
      <c r="E230" s="299">
        <f>3.5-0.6</f>
        <v>2.9</v>
      </c>
      <c r="F230" s="298"/>
      <c r="G230" s="298">
        <f t="shared" si="11"/>
        <v>6.82</v>
      </c>
    </row>
    <row r="231" spans="1:7">
      <c r="A231" s="297" t="s">
        <v>975</v>
      </c>
      <c r="B231" s="298"/>
      <c r="C231" s="299"/>
      <c r="D231" s="299">
        <f>7.35+13.468+5.95+11.3+10.25+24.775+5.1</f>
        <v>78.193</v>
      </c>
      <c r="E231" s="299">
        <v>1.26</v>
      </c>
      <c r="F231" s="298"/>
      <c r="G231" s="298">
        <f t="shared" si="10"/>
        <v>98.52</v>
      </c>
    </row>
    <row r="232" spans="1:7">
      <c r="A232" s="297" t="s">
        <v>976</v>
      </c>
      <c r="B232" s="298"/>
      <c r="C232" s="299"/>
      <c r="D232" s="299">
        <f>3*2+3.75*2</f>
        <v>13.5</v>
      </c>
      <c r="E232" s="299">
        <f>3-0.35</f>
        <v>2.65</v>
      </c>
      <c r="F232" s="298">
        <f>0.7*2.1</f>
        <v>1.47</v>
      </c>
      <c r="G232" s="298">
        <f t="shared" si="10"/>
        <v>34.31</v>
      </c>
    </row>
    <row r="233" spans="1:7">
      <c r="A233" s="360"/>
      <c r="B233" s="366"/>
      <c r="C233" s="361"/>
      <c r="D233" s="361"/>
      <c r="E233" s="376" t="s">
        <v>734</v>
      </c>
      <c r="F233" s="376"/>
      <c r="G233" s="377">
        <f>SUM(G200:G232)</f>
        <v>595.7025</v>
      </c>
    </row>
    <row r="234" spans="1:7">
      <c r="A234" s="360"/>
      <c r="B234" s="366"/>
      <c r="C234" s="361"/>
      <c r="D234" s="361"/>
      <c r="E234" s="361"/>
      <c r="F234" s="366"/>
      <c r="G234" s="366"/>
    </row>
    <row r="235" spans="1:7">
      <c r="A235" s="297" t="s">
        <v>977</v>
      </c>
      <c r="B235" s="298"/>
      <c r="C235" s="299"/>
      <c r="D235" s="299">
        <f>1.33+0.985</f>
        <v>2.315</v>
      </c>
      <c r="E235" s="299">
        <v>1.8</v>
      </c>
      <c r="F235" s="298">
        <f>0.6*1.8</f>
        <v>1.08</v>
      </c>
      <c r="G235" s="298">
        <f>ROUND(D235*E235-F235,2)</f>
        <v>3.09</v>
      </c>
    </row>
    <row r="236" spans="1:7">
      <c r="A236" s="297" t="s">
        <v>978</v>
      </c>
      <c r="B236" s="298"/>
      <c r="C236" s="299"/>
      <c r="D236" s="299">
        <f>2+1.3</f>
        <v>3.3</v>
      </c>
      <c r="E236" s="299">
        <v>1.8</v>
      </c>
      <c r="F236" s="298">
        <f>0.6*1.8*2</f>
        <v>2.16</v>
      </c>
      <c r="G236" s="298">
        <f>ROUND(D236*E236-F236,2)</f>
        <v>3.78</v>
      </c>
    </row>
    <row r="237" spans="1:7">
      <c r="A237" s="383"/>
      <c r="B237" s="383"/>
      <c r="C237" s="384"/>
      <c r="D237" s="384"/>
      <c r="E237" s="376" t="s">
        <v>734</v>
      </c>
      <c r="F237" s="376"/>
      <c r="G237" s="377">
        <f>G235+G236</f>
        <v>6.87</v>
      </c>
    </row>
    <row r="238" spans="1:7">
      <c r="A238" s="385"/>
      <c r="B238" s="386"/>
      <c r="C238" s="386" t="s">
        <v>979</v>
      </c>
      <c r="D238" s="361"/>
      <c r="E238" s="361"/>
      <c r="F238" s="386"/>
      <c r="G238" s="361" t="s">
        <v>734</v>
      </c>
    </row>
    <row r="239" spans="1:7">
      <c r="A239" s="297" t="s">
        <v>980</v>
      </c>
      <c r="B239" s="300"/>
      <c r="C239" s="299">
        <f>SUM(D232,D200:D230)</f>
        <v>183.065</v>
      </c>
      <c r="D239" s="299"/>
      <c r="E239" s="299"/>
      <c r="F239" s="300"/>
      <c r="G239" s="299">
        <f>C239</f>
        <v>183.065</v>
      </c>
    </row>
    <row r="240" spans="1:7">
      <c r="A240" s="360"/>
      <c r="B240" s="366"/>
      <c r="C240" s="361"/>
      <c r="D240" s="361"/>
      <c r="E240" s="376" t="s">
        <v>734</v>
      </c>
      <c r="F240" s="376"/>
      <c r="G240" s="377">
        <f>SUM(G239)</f>
        <v>183.065</v>
      </c>
    </row>
    <row r="241" spans="1:7">
      <c r="A241" s="225"/>
      <c r="B241" s="225"/>
      <c r="C241" s="378"/>
      <c r="D241" s="378"/>
      <c r="E241" s="378"/>
      <c r="F241" s="225"/>
      <c r="G241" s="225"/>
    </row>
    <row r="242" spans="1:7">
      <c r="A242" s="290" t="s">
        <v>981</v>
      </c>
      <c r="B242" s="291"/>
      <c r="C242" s="291"/>
      <c r="D242" s="291"/>
      <c r="E242" s="291"/>
      <c r="F242" s="291"/>
      <c r="G242" s="292"/>
    </row>
    <row r="243" spans="1:7">
      <c r="A243" s="290" t="s">
        <v>982</v>
      </c>
      <c r="B243" s="291"/>
      <c r="C243" s="387"/>
      <c r="D243" s="387"/>
      <c r="E243" s="387"/>
      <c r="F243" s="291"/>
      <c r="G243" s="292"/>
    </row>
    <row r="244" spans="1:7">
      <c r="A244" s="302" t="s">
        <v>807</v>
      </c>
      <c r="B244" s="303" t="s">
        <v>816</v>
      </c>
      <c r="C244" s="303" t="s">
        <v>817</v>
      </c>
      <c r="D244" s="388" t="s">
        <v>983</v>
      </c>
      <c r="E244" s="389"/>
      <c r="F244" s="303" t="s">
        <v>984</v>
      </c>
      <c r="G244" s="305" t="s">
        <v>985</v>
      </c>
    </row>
    <row r="245" ht="21" spans="1:7">
      <c r="A245" s="307" t="s">
        <v>986</v>
      </c>
      <c r="B245" s="300"/>
      <c r="C245" s="300"/>
      <c r="D245" s="358" t="s">
        <v>987</v>
      </c>
      <c r="E245" s="358" t="s">
        <v>988</v>
      </c>
      <c r="F245" s="300"/>
      <c r="G245" s="300"/>
    </row>
    <row r="246" spans="1:7">
      <c r="A246" s="381" t="s">
        <v>946</v>
      </c>
      <c r="B246" s="298">
        <v>6.97</v>
      </c>
      <c r="C246" s="299">
        <v>3.5</v>
      </c>
      <c r="D246" s="299">
        <f>1.6*2.1+2*1.15</f>
        <v>5.66</v>
      </c>
      <c r="E246" s="299"/>
      <c r="F246" s="298">
        <v>1</v>
      </c>
      <c r="G246" s="298">
        <f>ROUND(B246*C246-D246-E246*B246,2)*F246</f>
        <v>18.74</v>
      </c>
    </row>
    <row r="247" spans="1:7">
      <c r="A247" s="381" t="s">
        <v>947</v>
      </c>
      <c r="B247" s="298">
        <v>1.8</v>
      </c>
      <c r="C247" s="299">
        <v>3.5</v>
      </c>
      <c r="D247" s="299"/>
      <c r="E247" s="299"/>
      <c r="F247" s="298">
        <v>1</v>
      </c>
      <c r="G247" s="298">
        <f t="shared" ref="G247:G253" si="12">ROUND(B247*C247-D247-E247*B247,2)*F247</f>
        <v>6.3</v>
      </c>
    </row>
    <row r="248" spans="1:7">
      <c r="A248" s="381" t="s">
        <v>948</v>
      </c>
      <c r="B248" s="298">
        <v>4.5</v>
      </c>
      <c r="C248" s="299">
        <v>3.5</v>
      </c>
      <c r="D248" s="299"/>
      <c r="E248" s="299"/>
      <c r="F248" s="298">
        <v>1</v>
      </c>
      <c r="G248" s="298">
        <f t="shared" si="12"/>
        <v>15.75</v>
      </c>
    </row>
    <row r="249" spans="1:7">
      <c r="A249" s="381" t="s">
        <v>949</v>
      </c>
      <c r="B249" s="298">
        <v>14.2</v>
      </c>
      <c r="C249" s="299">
        <v>3.5</v>
      </c>
      <c r="D249" s="299">
        <f>1*0.3*4+2*1.15*2</f>
        <v>5.8</v>
      </c>
      <c r="E249" s="299"/>
      <c r="F249" s="298">
        <v>1</v>
      </c>
      <c r="G249" s="298">
        <f t="shared" si="12"/>
        <v>43.9</v>
      </c>
    </row>
    <row r="250" spans="1:7">
      <c r="A250" s="381" t="s">
        <v>950</v>
      </c>
      <c r="B250" s="298">
        <v>22.795</v>
      </c>
      <c r="C250" s="299">
        <v>3.5</v>
      </c>
      <c r="D250" s="299">
        <f>2*1.15*2+0.8*2.1*2+1.5*1.15+0.3*1</f>
        <v>9.985</v>
      </c>
      <c r="E250" s="299"/>
      <c r="F250" s="298">
        <v>1</v>
      </c>
      <c r="G250" s="298">
        <f t="shared" si="12"/>
        <v>69.8</v>
      </c>
    </row>
    <row r="251" spans="1:7">
      <c r="A251" s="381" t="s">
        <v>951</v>
      </c>
      <c r="B251" s="298">
        <v>8.25</v>
      </c>
      <c r="C251" s="299">
        <v>3.5</v>
      </c>
      <c r="D251" s="299">
        <f>1.5*1.15*2+1.6*2.1</f>
        <v>6.81</v>
      </c>
      <c r="E251" s="299"/>
      <c r="F251" s="298">
        <v>1</v>
      </c>
      <c r="G251" s="298">
        <f t="shared" si="12"/>
        <v>22.07</v>
      </c>
    </row>
    <row r="252" spans="1:7">
      <c r="A252" s="381" t="s">
        <v>952</v>
      </c>
      <c r="B252" s="298">
        <v>11.3</v>
      </c>
      <c r="C252" s="299">
        <v>3.5</v>
      </c>
      <c r="D252" s="299">
        <f>1.5*1.15*2</f>
        <v>3.45</v>
      </c>
      <c r="E252" s="299"/>
      <c r="F252" s="298">
        <v>1</v>
      </c>
      <c r="G252" s="298">
        <f t="shared" si="12"/>
        <v>36.1</v>
      </c>
    </row>
    <row r="253" spans="1:7">
      <c r="A253" s="381" t="s">
        <v>953</v>
      </c>
      <c r="B253" s="298">
        <v>4</v>
      </c>
      <c r="C253" s="299">
        <v>3.5</v>
      </c>
      <c r="D253" s="299">
        <f>2*1.15</f>
        <v>2.3</v>
      </c>
      <c r="E253" s="299"/>
      <c r="F253" s="298">
        <v>1</v>
      </c>
      <c r="G253" s="298">
        <f t="shared" si="12"/>
        <v>11.7</v>
      </c>
    </row>
    <row r="254" spans="1:7">
      <c r="A254" s="390" t="s">
        <v>989</v>
      </c>
      <c r="B254" s="298">
        <f>D231</f>
        <v>78.193</v>
      </c>
      <c r="C254" s="306">
        <v>1.26</v>
      </c>
      <c r="D254" s="306"/>
      <c r="E254" s="306"/>
      <c r="F254" s="298">
        <v>2</v>
      </c>
      <c r="G254" s="298">
        <f t="shared" ref="G254:G255" si="13">ROUND(B254*C254-D254,2)*F254</f>
        <v>197.04</v>
      </c>
    </row>
    <row r="255" spans="1:7">
      <c r="A255" s="297" t="s">
        <v>990</v>
      </c>
      <c r="B255" s="298">
        <v>13.5</v>
      </c>
      <c r="C255" s="299">
        <v>3</v>
      </c>
      <c r="D255" s="299">
        <f>0.7*2.1</f>
        <v>1.47</v>
      </c>
      <c r="E255" s="299"/>
      <c r="F255" s="298">
        <v>2</v>
      </c>
      <c r="G255" s="298">
        <f t="shared" si="13"/>
        <v>78.06</v>
      </c>
    </row>
    <row r="256" spans="1:7">
      <c r="A256" s="297"/>
      <c r="B256" s="298"/>
      <c r="C256" s="299"/>
      <c r="D256" s="299"/>
      <c r="E256" s="376" t="s">
        <v>734</v>
      </c>
      <c r="F256" s="376"/>
      <c r="G256" s="377">
        <f>SUM(G246:G255)</f>
        <v>499.46</v>
      </c>
    </row>
    <row r="257" spans="1:7">
      <c r="A257" s="307" t="s">
        <v>991</v>
      </c>
      <c r="B257" s="298"/>
      <c r="C257" s="299"/>
      <c r="D257" s="299"/>
      <c r="E257" s="299"/>
      <c r="F257" s="298"/>
      <c r="G257" s="298"/>
    </row>
    <row r="258" spans="1:7">
      <c r="A258" s="381" t="s">
        <v>946</v>
      </c>
      <c r="B258" s="299">
        <v>6.97</v>
      </c>
      <c r="C258" s="299">
        <v>3.15</v>
      </c>
      <c r="D258" s="299">
        <f>1.6*2.1+2*1.15</f>
        <v>5.66</v>
      </c>
      <c r="E258" s="299"/>
      <c r="F258" s="298">
        <v>1</v>
      </c>
      <c r="G258" s="298">
        <f>ROUND(B258*C258-D258-E258,2)*F258</f>
        <v>16.3</v>
      </c>
    </row>
    <row r="259" spans="1:7">
      <c r="A259" s="381" t="s">
        <v>947</v>
      </c>
      <c r="B259" s="299">
        <v>1.8</v>
      </c>
      <c r="C259" s="299">
        <v>3.15</v>
      </c>
      <c r="D259" s="299"/>
      <c r="E259" s="299"/>
      <c r="F259" s="298">
        <v>1</v>
      </c>
      <c r="G259" s="298">
        <f t="shared" ref="G259:G288" si="14">ROUND(B259*C259-D259-E259,2)*F259</f>
        <v>5.67</v>
      </c>
    </row>
    <row r="260" spans="1:7">
      <c r="A260" s="381" t="s">
        <v>948</v>
      </c>
      <c r="B260" s="299">
        <v>4.5</v>
      </c>
      <c r="C260" s="299">
        <v>3.15</v>
      </c>
      <c r="D260" s="299"/>
      <c r="E260" s="299"/>
      <c r="F260" s="298">
        <v>1</v>
      </c>
      <c r="G260" s="298">
        <f t="shared" si="14"/>
        <v>14.18</v>
      </c>
    </row>
    <row r="261" spans="1:7">
      <c r="A261" s="381" t="s">
        <v>949</v>
      </c>
      <c r="B261" s="299">
        <v>14.2</v>
      </c>
      <c r="C261" s="299">
        <v>3.15</v>
      </c>
      <c r="D261" s="299">
        <f>1*0.3*4+2*1.15*2</f>
        <v>5.8</v>
      </c>
      <c r="E261" s="299"/>
      <c r="F261" s="298">
        <v>1</v>
      </c>
      <c r="G261" s="298">
        <f t="shared" si="14"/>
        <v>38.93</v>
      </c>
    </row>
    <row r="262" spans="1:7">
      <c r="A262" s="381" t="s">
        <v>950</v>
      </c>
      <c r="B262" s="299">
        <v>22.795</v>
      </c>
      <c r="C262" s="299">
        <v>3.15</v>
      </c>
      <c r="D262" s="299">
        <f>2*1.15*2+1*0.3+0.8*2.1*2+1.5*1.15</f>
        <v>9.985</v>
      </c>
      <c r="E262" s="299"/>
      <c r="F262" s="298">
        <v>1</v>
      </c>
      <c r="G262" s="298">
        <f t="shared" si="14"/>
        <v>61.82</v>
      </c>
    </row>
    <row r="263" spans="1:7">
      <c r="A263" s="381" t="s">
        <v>951</v>
      </c>
      <c r="B263" s="299">
        <v>8.25</v>
      </c>
      <c r="C263" s="299">
        <v>3.15</v>
      </c>
      <c r="D263" s="299">
        <f>1.6*2.1+1.5*1.15*2</f>
        <v>6.81</v>
      </c>
      <c r="E263" s="299"/>
      <c r="F263" s="298">
        <v>1</v>
      </c>
      <c r="G263" s="298">
        <f t="shared" si="14"/>
        <v>19.18</v>
      </c>
    </row>
    <row r="264" spans="1:7">
      <c r="A264" s="381" t="s">
        <v>952</v>
      </c>
      <c r="B264" s="299">
        <v>11.3</v>
      </c>
      <c r="C264" s="299">
        <v>3.15</v>
      </c>
      <c r="D264" s="299">
        <f>1.5*1.15*2</f>
        <v>3.45</v>
      </c>
      <c r="E264" s="299"/>
      <c r="F264" s="298">
        <v>1</v>
      </c>
      <c r="G264" s="298">
        <f t="shared" si="14"/>
        <v>32.15</v>
      </c>
    </row>
    <row r="265" spans="1:7">
      <c r="A265" s="381" t="s">
        <v>953</v>
      </c>
      <c r="B265" s="299">
        <v>4</v>
      </c>
      <c r="C265" s="299">
        <v>3.15</v>
      </c>
      <c r="D265" s="299">
        <f>2*1.15</f>
        <v>2.3</v>
      </c>
      <c r="E265" s="299"/>
      <c r="F265" s="298">
        <v>1</v>
      </c>
      <c r="G265" s="298">
        <f t="shared" si="14"/>
        <v>10.3</v>
      </c>
    </row>
    <row r="266" spans="1:7">
      <c r="A266" s="381" t="s">
        <v>954</v>
      </c>
      <c r="B266" s="299">
        <v>1.2</v>
      </c>
      <c r="C266" s="299">
        <v>3.15</v>
      </c>
      <c r="D266" s="299">
        <f>0.8*2.1</f>
        <v>1.68</v>
      </c>
      <c r="E266" s="299"/>
      <c r="F266" s="298">
        <v>2</v>
      </c>
      <c r="G266" s="298">
        <f t="shared" si="14"/>
        <v>4.2</v>
      </c>
    </row>
    <row r="267" spans="1:7">
      <c r="A267" s="381" t="s">
        <v>955</v>
      </c>
      <c r="B267" s="299">
        <v>4.35</v>
      </c>
      <c r="C267" s="299">
        <v>3.15</v>
      </c>
      <c r="D267" s="299">
        <f>0.9*2.1</f>
        <v>1.89</v>
      </c>
      <c r="E267" s="299"/>
      <c r="F267" s="298">
        <v>2</v>
      </c>
      <c r="G267" s="298">
        <f t="shared" si="14"/>
        <v>23.62</v>
      </c>
    </row>
    <row r="268" spans="1:7">
      <c r="A268" s="381" t="s">
        <v>956</v>
      </c>
      <c r="B268" s="299">
        <v>2.85</v>
      </c>
      <c r="C268" s="299">
        <v>3.15</v>
      </c>
      <c r="D268" s="299"/>
      <c r="E268" s="299"/>
      <c r="F268" s="298">
        <v>2</v>
      </c>
      <c r="G268" s="298">
        <f t="shared" si="14"/>
        <v>17.96</v>
      </c>
    </row>
    <row r="269" spans="1:7">
      <c r="A269" s="381" t="s">
        <v>957</v>
      </c>
      <c r="B269" s="299">
        <v>2.85</v>
      </c>
      <c r="C269" s="299">
        <v>3.15</v>
      </c>
      <c r="D269" s="299"/>
      <c r="E269" s="299"/>
      <c r="F269" s="298">
        <v>2</v>
      </c>
      <c r="G269" s="298">
        <f t="shared" si="14"/>
        <v>17.96</v>
      </c>
    </row>
    <row r="270" spans="1:7">
      <c r="A270" s="381" t="s">
        <v>958</v>
      </c>
      <c r="B270" s="299">
        <v>1.2</v>
      </c>
      <c r="C270" s="299">
        <v>3.15</v>
      </c>
      <c r="D270" s="299">
        <f>0.8*2.1</f>
        <v>1.68</v>
      </c>
      <c r="E270" s="299"/>
      <c r="F270" s="298">
        <v>2</v>
      </c>
      <c r="G270" s="298">
        <f t="shared" si="14"/>
        <v>4.2</v>
      </c>
    </row>
    <row r="271" spans="1:7">
      <c r="A271" s="381" t="s">
        <v>959</v>
      </c>
      <c r="B271" s="299">
        <v>4.2</v>
      </c>
      <c r="C271" s="299">
        <v>3.15</v>
      </c>
      <c r="D271" s="299"/>
      <c r="E271" s="299"/>
      <c r="F271" s="298">
        <v>2</v>
      </c>
      <c r="G271" s="298">
        <f t="shared" si="14"/>
        <v>26.46</v>
      </c>
    </row>
    <row r="272" spans="1:7">
      <c r="A272" s="381" t="s">
        <v>960</v>
      </c>
      <c r="B272" s="299">
        <v>12.4</v>
      </c>
      <c r="C272" s="299">
        <v>3.15</v>
      </c>
      <c r="D272" s="299">
        <f>2.75*2.1+0.8*2.1</f>
        <v>7.455</v>
      </c>
      <c r="E272" s="299"/>
      <c r="F272" s="298">
        <v>2</v>
      </c>
      <c r="G272" s="298">
        <f t="shared" si="14"/>
        <v>63.22</v>
      </c>
    </row>
    <row r="273" spans="1:7">
      <c r="A273" s="381" t="s">
        <v>961</v>
      </c>
      <c r="B273" s="299">
        <v>12.25</v>
      </c>
      <c r="C273" s="299">
        <v>3.15</v>
      </c>
      <c r="D273" s="299">
        <f>0.8*2.1*2</f>
        <v>3.36</v>
      </c>
      <c r="E273" s="299"/>
      <c r="F273" s="298">
        <v>2</v>
      </c>
      <c r="G273" s="298">
        <f t="shared" si="14"/>
        <v>70.46</v>
      </c>
    </row>
    <row r="274" spans="1:7">
      <c r="A274" s="381" t="s">
        <v>962</v>
      </c>
      <c r="B274" s="299">
        <v>1.3</v>
      </c>
      <c r="C274" s="299">
        <v>3.15</v>
      </c>
      <c r="D274" s="299"/>
      <c r="E274" s="299"/>
      <c r="F274" s="298">
        <v>2</v>
      </c>
      <c r="G274" s="298">
        <f t="shared" si="14"/>
        <v>8.2</v>
      </c>
    </row>
    <row r="275" spans="1:7">
      <c r="A275" s="381" t="s">
        <v>884</v>
      </c>
      <c r="B275" s="299">
        <v>2.15</v>
      </c>
      <c r="C275" s="299">
        <v>3.15</v>
      </c>
      <c r="D275" s="299">
        <v>1.68</v>
      </c>
      <c r="E275" s="299"/>
      <c r="F275" s="298">
        <v>2</v>
      </c>
      <c r="G275" s="298">
        <f t="shared" si="14"/>
        <v>10.18</v>
      </c>
    </row>
    <row r="276" spans="1:7">
      <c r="A276" s="381" t="s">
        <v>963</v>
      </c>
      <c r="B276" s="299">
        <v>13.775</v>
      </c>
      <c r="C276" s="299">
        <v>3.15</v>
      </c>
      <c r="D276" s="299">
        <f>0.8*2.1*2+1.475*2.1</f>
        <v>6.4575</v>
      </c>
      <c r="E276" s="299"/>
      <c r="F276" s="298">
        <v>2</v>
      </c>
      <c r="G276" s="298">
        <f t="shared" si="14"/>
        <v>73.86</v>
      </c>
    </row>
    <row r="277" spans="1:7">
      <c r="A277" s="381" t="s">
        <v>964</v>
      </c>
      <c r="B277" s="299">
        <v>4.1</v>
      </c>
      <c r="C277" s="299">
        <v>3.15</v>
      </c>
      <c r="D277" s="299">
        <f>0.8*2.1</f>
        <v>1.68</v>
      </c>
      <c r="E277" s="299"/>
      <c r="F277" s="298">
        <v>2</v>
      </c>
      <c r="G277" s="298">
        <f t="shared" si="14"/>
        <v>22.48</v>
      </c>
    </row>
    <row r="278" spans="1:7">
      <c r="A278" s="381" t="s">
        <v>965</v>
      </c>
      <c r="B278" s="299">
        <v>1.3</v>
      </c>
      <c r="C278" s="299">
        <v>3.15</v>
      </c>
      <c r="D278" s="299"/>
      <c r="E278" s="299"/>
      <c r="F278" s="298">
        <v>2</v>
      </c>
      <c r="G278" s="298">
        <f t="shared" si="14"/>
        <v>8.2</v>
      </c>
    </row>
    <row r="279" spans="1:7">
      <c r="A279" s="381" t="s">
        <v>966</v>
      </c>
      <c r="B279" s="299">
        <v>2.15</v>
      </c>
      <c r="C279" s="299">
        <v>3.15</v>
      </c>
      <c r="D279" s="299">
        <f>0.8*2.1</f>
        <v>1.68</v>
      </c>
      <c r="E279" s="299"/>
      <c r="F279" s="298">
        <v>2</v>
      </c>
      <c r="G279" s="298">
        <f t="shared" si="14"/>
        <v>10.18</v>
      </c>
    </row>
    <row r="280" spans="1:7">
      <c r="A280" s="381" t="s">
        <v>967</v>
      </c>
      <c r="B280" s="299">
        <v>4.1</v>
      </c>
      <c r="C280" s="299">
        <v>3.15</v>
      </c>
      <c r="D280" s="299"/>
      <c r="E280" s="299"/>
      <c r="F280" s="298">
        <v>2</v>
      </c>
      <c r="G280" s="298">
        <f t="shared" si="14"/>
        <v>25.84</v>
      </c>
    </row>
    <row r="281" spans="1:7">
      <c r="A281" s="381" t="s">
        <v>968</v>
      </c>
      <c r="B281" s="299">
        <v>1.5</v>
      </c>
      <c r="C281" s="299">
        <v>3.15</v>
      </c>
      <c r="D281" s="299">
        <f>0.8*2.1</f>
        <v>1.68</v>
      </c>
      <c r="E281" s="299"/>
      <c r="F281" s="298">
        <v>2</v>
      </c>
      <c r="G281" s="298">
        <f t="shared" si="14"/>
        <v>6.1</v>
      </c>
    </row>
    <row r="282" spans="1:7">
      <c r="A282" s="381" t="s">
        <v>969</v>
      </c>
      <c r="B282" s="299">
        <v>1.5</v>
      </c>
      <c r="C282" s="299">
        <v>3.15</v>
      </c>
      <c r="D282" s="299">
        <f>1*0.3</f>
        <v>0.3</v>
      </c>
      <c r="E282" s="299"/>
      <c r="F282" s="298">
        <v>2</v>
      </c>
      <c r="G282" s="298">
        <f t="shared" si="14"/>
        <v>8.86</v>
      </c>
    </row>
    <row r="283" spans="1:7">
      <c r="A283" s="297" t="s">
        <v>885</v>
      </c>
      <c r="B283" s="299">
        <v>3.45</v>
      </c>
      <c r="C283" s="299">
        <v>3.15</v>
      </c>
      <c r="D283" s="299"/>
      <c r="E283" s="299"/>
      <c r="F283" s="298">
        <v>2</v>
      </c>
      <c r="G283" s="298">
        <f t="shared" si="14"/>
        <v>21.74</v>
      </c>
    </row>
    <row r="284" spans="1:7">
      <c r="A284" s="297" t="s">
        <v>970</v>
      </c>
      <c r="B284" s="299">
        <v>3.45</v>
      </c>
      <c r="C284" s="299">
        <v>3.15</v>
      </c>
      <c r="D284" s="299"/>
      <c r="E284" s="299"/>
      <c r="F284" s="298">
        <v>2</v>
      </c>
      <c r="G284" s="298">
        <f t="shared" si="14"/>
        <v>21.74</v>
      </c>
    </row>
    <row r="285" spans="1:7">
      <c r="A285" s="297" t="s">
        <v>971</v>
      </c>
      <c r="B285" s="299">
        <v>2.725</v>
      </c>
      <c r="C285" s="299">
        <v>3.15</v>
      </c>
      <c r="D285" s="299">
        <v>1.68</v>
      </c>
      <c r="E285" s="299"/>
      <c r="F285" s="298">
        <v>2</v>
      </c>
      <c r="G285" s="298">
        <f t="shared" si="14"/>
        <v>13.8</v>
      </c>
    </row>
    <row r="286" spans="1:7">
      <c r="A286" s="297" t="s">
        <v>972</v>
      </c>
      <c r="B286" s="299">
        <v>8.25</v>
      </c>
      <c r="C286" s="299">
        <v>3.15</v>
      </c>
      <c r="D286" s="299">
        <f>1.6*2.1</f>
        <v>3.36</v>
      </c>
      <c r="E286" s="299"/>
      <c r="F286" s="298">
        <v>2</v>
      </c>
      <c r="G286" s="298">
        <f t="shared" si="14"/>
        <v>45.26</v>
      </c>
    </row>
    <row r="287" spans="1:7">
      <c r="A287" s="297" t="s">
        <v>973</v>
      </c>
      <c r="B287" s="299">
        <v>2.35</v>
      </c>
      <c r="C287" s="299">
        <v>3.15</v>
      </c>
      <c r="D287" s="299"/>
      <c r="E287" s="299"/>
      <c r="F287" s="298">
        <v>2</v>
      </c>
      <c r="G287" s="298">
        <f t="shared" si="14"/>
        <v>14.8</v>
      </c>
    </row>
    <row r="288" spans="1:7">
      <c r="A288" s="297" t="s">
        <v>974</v>
      </c>
      <c r="B288" s="299">
        <v>2.35</v>
      </c>
      <c r="C288" s="299">
        <v>3.15</v>
      </c>
      <c r="D288" s="299"/>
      <c r="E288" s="299"/>
      <c r="F288" s="298">
        <v>2</v>
      </c>
      <c r="G288" s="298">
        <f t="shared" si="14"/>
        <v>14.8</v>
      </c>
    </row>
    <row r="289" spans="1:7">
      <c r="A289" s="297" t="s">
        <v>992</v>
      </c>
      <c r="B289" s="298"/>
      <c r="C289" s="299"/>
      <c r="D289" s="299"/>
      <c r="E289" s="299"/>
      <c r="F289" s="298"/>
      <c r="G289" s="298">
        <f>341-263</f>
        <v>78</v>
      </c>
    </row>
    <row r="290" spans="1:7">
      <c r="A290" s="309"/>
      <c r="B290" s="310"/>
      <c r="C290" s="310"/>
      <c r="D290" s="311"/>
      <c r="E290" s="373" t="s">
        <v>734</v>
      </c>
      <c r="F290" s="363"/>
      <c r="G290" s="364">
        <f>SUM(G258:G289)</f>
        <v>810.65</v>
      </c>
    </row>
    <row r="291" spans="1:7">
      <c r="A291" s="391"/>
      <c r="B291" s="392"/>
      <c r="C291" s="382"/>
      <c r="D291" s="299"/>
      <c r="E291" s="299"/>
      <c r="F291" s="300"/>
      <c r="G291" s="298"/>
    </row>
    <row r="292" spans="1:7">
      <c r="A292" s="290" t="s">
        <v>993</v>
      </c>
      <c r="B292" s="291"/>
      <c r="C292" s="387"/>
      <c r="D292" s="387"/>
      <c r="E292" s="387"/>
      <c r="F292" s="291"/>
      <c r="G292" s="292"/>
    </row>
    <row r="293" ht="22.5" spans="1:7">
      <c r="A293" s="391" t="s">
        <v>994</v>
      </c>
      <c r="B293" s="392"/>
      <c r="C293" s="382"/>
      <c r="D293" s="299"/>
      <c r="E293" s="299"/>
      <c r="F293" s="300"/>
      <c r="G293" s="298">
        <f>G290+G256</f>
        <v>1310.11</v>
      </c>
    </row>
    <row r="294" spans="1:7">
      <c r="A294" s="391"/>
      <c r="B294" s="392"/>
      <c r="C294" s="382"/>
      <c r="D294" s="299"/>
      <c r="E294" s="373" t="s">
        <v>734</v>
      </c>
      <c r="F294" s="363"/>
      <c r="G294" s="364">
        <f>SUM(G293)</f>
        <v>1310.11</v>
      </c>
    </row>
    <row r="295" spans="1:7">
      <c r="A295" s="391"/>
      <c r="B295" s="392"/>
      <c r="C295" s="393"/>
      <c r="D295" s="361"/>
      <c r="E295" s="361"/>
      <c r="F295" s="366"/>
      <c r="G295" s="366"/>
    </row>
    <row r="296" spans="1:7">
      <c r="A296" s="391"/>
      <c r="B296" s="392"/>
      <c r="C296" s="393"/>
      <c r="D296" s="361"/>
      <c r="E296" s="361"/>
      <c r="F296" s="366"/>
      <c r="G296" s="366"/>
    </row>
    <row r="297" ht="21" spans="1:7">
      <c r="A297" s="367" t="s">
        <v>995</v>
      </c>
      <c r="B297" s="368"/>
      <c r="C297" s="369"/>
      <c r="D297" s="371" t="s">
        <v>996</v>
      </c>
      <c r="E297" s="371" t="s">
        <v>997</v>
      </c>
      <c r="F297" s="371" t="s">
        <v>998</v>
      </c>
      <c r="G297" s="372" t="s">
        <v>734</v>
      </c>
    </row>
    <row r="298" spans="1:7">
      <c r="A298" s="394" t="s">
        <v>919</v>
      </c>
      <c r="B298" s="298"/>
      <c r="C298" s="299"/>
      <c r="D298" s="299">
        <f>2.73*2+3.3*2</f>
        <v>12.06</v>
      </c>
      <c r="E298" s="299">
        <v>1.8</v>
      </c>
      <c r="F298" s="394">
        <f>0.8*1.8+0.8*1.5</f>
        <v>2.64</v>
      </c>
      <c r="G298" s="298">
        <f>ROUND(D298*E298,2)-F298</f>
        <v>19.07</v>
      </c>
    </row>
    <row r="299" spans="1:7">
      <c r="A299" s="394" t="s">
        <v>922</v>
      </c>
      <c r="B299" s="298"/>
      <c r="C299" s="299"/>
      <c r="D299" s="299">
        <f>1.5*2+1.65*2</f>
        <v>6.3</v>
      </c>
      <c r="E299" s="299">
        <v>1.8</v>
      </c>
      <c r="F299" s="394">
        <f>0.8*1.8</f>
        <v>1.44</v>
      </c>
      <c r="G299" s="298">
        <f t="shared" ref="G299:G305" si="15">ROUND(D299*E299,2)-F299</f>
        <v>9.9</v>
      </c>
    </row>
    <row r="300" spans="1:7">
      <c r="A300" s="394" t="s">
        <v>999</v>
      </c>
      <c r="B300" s="298"/>
      <c r="C300" s="299"/>
      <c r="D300" s="299">
        <f>1.35+1.5+2.85+2.5+1+4.2</f>
        <v>13.4</v>
      </c>
      <c r="E300" s="299">
        <v>1.8</v>
      </c>
      <c r="F300" s="394">
        <v>1.44</v>
      </c>
      <c r="G300" s="298">
        <f t="shared" si="15"/>
        <v>22.68</v>
      </c>
    </row>
    <row r="301" spans="1:7">
      <c r="A301" s="394" t="s">
        <v>1000</v>
      </c>
      <c r="B301" s="298"/>
      <c r="C301" s="299"/>
      <c r="D301" s="299">
        <f>1+4.2+2+2.85+1+1.35</f>
        <v>12.4</v>
      </c>
      <c r="E301" s="299">
        <v>1.8</v>
      </c>
      <c r="F301" s="394">
        <v>1.44</v>
      </c>
      <c r="G301" s="298">
        <f t="shared" si="15"/>
        <v>20.88</v>
      </c>
    </row>
    <row r="302" spans="1:7">
      <c r="A302" s="394" t="s">
        <v>1001</v>
      </c>
      <c r="B302" s="298"/>
      <c r="C302" s="299"/>
      <c r="D302" s="299">
        <f>1.3*2+2*2</f>
        <v>6.6</v>
      </c>
      <c r="E302" s="299">
        <v>1.8</v>
      </c>
      <c r="F302" s="394">
        <v>1.44</v>
      </c>
      <c r="G302" s="298">
        <f t="shared" si="15"/>
        <v>10.44</v>
      </c>
    </row>
    <row r="303" spans="1:7">
      <c r="A303" s="394" t="s">
        <v>1002</v>
      </c>
      <c r="B303" s="298"/>
      <c r="C303" s="299"/>
      <c r="D303" s="299">
        <f>1.3*2+2*2</f>
        <v>6.6</v>
      </c>
      <c r="E303" s="299">
        <v>1.8</v>
      </c>
      <c r="F303" s="394">
        <v>1.44</v>
      </c>
      <c r="G303" s="298">
        <f t="shared" si="15"/>
        <v>10.44</v>
      </c>
    </row>
    <row r="304" spans="1:7">
      <c r="A304" s="394" t="s">
        <v>1003</v>
      </c>
      <c r="B304" s="298"/>
      <c r="C304" s="299"/>
      <c r="D304" s="299">
        <f>1.5*2+1.5*2</f>
        <v>6</v>
      </c>
      <c r="E304" s="299">
        <v>1.8</v>
      </c>
      <c r="F304" s="394">
        <v>1.44</v>
      </c>
      <c r="G304" s="298">
        <f t="shared" si="15"/>
        <v>9.36</v>
      </c>
    </row>
    <row r="305" spans="1:7">
      <c r="A305" s="394" t="s">
        <v>929</v>
      </c>
      <c r="B305" s="298"/>
      <c r="C305" s="299"/>
      <c r="D305" s="299">
        <f>1.55*2+2.85*2</f>
        <v>8.8</v>
      </c>
      <c r="E305" s="299">
        <v>1.8</v>
      </c>
      <c r="F305" s="394">
        <f>0.9*1.8</f>
        <v>1.62</v>
      </c>
      <c r="G305" s="298">
        <f t="shared" si="15"/>
        <v>14.22</v>
      </c>
    </row>
    <row r="306" spans="1:7">
      <c r="A306" s="360"/>
      <c r="B306" s="225"/>
      <c r="C306" s="361"/>
      <c r="D306" s="361"/>
      <c r="E306" s="373" t="s">
        <v>734</v>
      </c>
      <c r="F306" s="363"/>
      <c r="G306" s="364">
        <f>SUM(G298:G305)</f>
        <v>116.99</v>
      </c>
    </row>
    <row r="307" spans="1:7">
      <c r="A307" s="225"/>
      <c r="B307" s="225"/>
      <c r="C307" s="378"/>
      <c r="D307" s="378"/>
      <c r="E307" s="378"/>
      <c r="F307" s="225"/>
      <c r="G307" s="225"/>
    </row>
    <row r="308" ht="18.75" customHeight="1" spans="1:7">
      <c r="A308" s="367" t="s">
        <v>1004</v>
      </c>
      <c r="B308" s="368"/>
      <c r="C308" s="369"/>
      <c r="D308" s="371" t="s">
        <v>996</v>
      </c>
      <c r="E308" s="371" t="s">
        <v>997</v>
      </c>
      <c r="F308" s="371" t="s">
        <v>998</v>
      </c>
      <c r="G308" s="372" t="s">
        <v>734</v>
      </c>
    </row>
    <row r="309" spans="1:7">
      <c r="A309" s="229" t="s">
        <v>1005</v>
      </c>
      <c r="B309" s="229"/>
      <c r="C309" s="246"/>
      <c r="D309" s="246">
        <f>6.97+1.79+4.5</f>
        <v>13.26</v>
      </c>
      <c r="E309" s="395">
        <v>1</v>
      </c>
      <c r="F309" s="395">
        <f>1.6*1</f>
        <v>1.6</v>
      </c>
      <c r="G309" s="232">
        <f>D309*E309-F309</f>
        <v>11.66</v>
      </c>
    </row>
    <row r="310" spans="1:7">
      <c r="A310" s="229" t="s">
        <v>1006</v>
      </c>
      <c r="B310" s="229"/>
      <c r="C310" s="246"/>
      <c r="D310" s="246">
        <f>4.15+11.3+8.55</f>
        <v>24</v>
      </c>
      <c r="E310" s="395">
        <v>1</v>
      </c>
      <c r="F310" s="395">
        <v>1.6</v>
      </c>
      <c r="G310" s="232">
        <f>D310*E310-F310</f>
        <v>22.4</v>
      </c>
    </row>
    <row r="311" spans="1:7">
      <c r="A311" s="229" t="s">
        <v>1007</v>
      </c>
      <c r="B311" s="229"/>
      <c r="C311" s="246"/>
      <c r="D311" s="246">
        <v>14.5</v>
      </c>
      <c r="E311" s="395">
        <v>1</v>
      </c>
      <c r="F311" s="395"/>
      <c r="G311" s="232">
        <f>D311*E311-F311*1</f>
        <v>14.5</v>
      </c>
    </row>
    <row r="312" spans="1:7">
      <c r="A312" s="229" t="s">
        <v>1008</v>
      </c>
      <c r="B312" s="229"/>
      <c r="C312" s="246"/>
      <c r="D312" s="246">
        <v>22.775</v>
      </c>
      <c r="E312" s="395">
        <v>1</v>
      </c>
      <c r="F312" s="395">
        <f>0.8*2</f>
        <v>1.6</v>
      </c>
      <c r="G312" s="232">
        <f>D312*E312-F312*1</f>
        <v>21.175</v>
      </c>
    </row>
    <row r="313" spans="1:7">
      <c r="A313" s="225"/>
      <c r="B313" s="225"/>
      <c r="C313" s="378"/>
      <c r="D313" s="378"/>
      <c r="E313" s="373" t="s">
        <v>734</v>
      </c>
      <c r="F313" s="363"/>
      <c r="G313" s="364">
        <f>SUM(G309:G312)</f>
        <v>69.735</v>
      </c>
    </row>
    <row r="314" spans="1:7">
      <c r="A314" s="396"/>
      <c r="B314" s="397"/>
      <c r="C314" s="398"/>
      <c r="D314" s="398"/>
      <c r="E314" s="398"/>
      <c r="F314" s="397"/>
      <c r="G314" s="399"/>
    </row>
    <row r="315" spans="1:7">
      <c r="A315" s="290" t="s">
        <v>1009</v>
      </c>
      <c r="B315" s="291"/>
      <c r="C315" s="291"/>
      <c r="D315" s="291"/>
      <c r="E315" s="291"/>
      <c r="F315" s="291"/>
      <c r="G315" s="292"/>
    </row>
    <row r="316" spans="1:7">
      <c r="A316" s="302" t="s">
        <v>807</v>
      </c>
      <c r="B316" s="303" t="s">
        <v>1010</v>
      </c>
      <c r="C316" s="304" t="s">
        <v>817</v>
      </c>
      <c r="D316" s="388" t="s">
        <v>983</v>
      </c>
      <c r="E316" s="389"/>
      <c r="F316" s="303" t="s">
        <v>984</v>
      </c>
      <c r="G316" s="305" t="s">
        <v>985</v>
      </c>
    </row>
    <row r="317" ht="21" spans="1:7">
      <c r="A317" s="307" t="s">
        <v>986</v>
      </c>
      <c r="B317" s="300"/>
      <c r="C317" s="300"/>
      <c r="D317" s="358" t="s">
        <v>987</v>
      </c>
      <c r="E317" s="358" t="s">
        <v>988</v>
      </c>
      <c r="F317" s="300"/>
      <c r="G317" s="300"/>
    </row>
    <row r="318" spans="1:7">
      <c r="A318" s="381" t="s">
        <v>946</v>
      </c>
      <c r="B318" s="298">
        <v>6.97</v>
      </c>
      <c r="C318" s="299">
        <v>3.5</v>
      </c>
      <c r="D318" s="299">
        <f>1.6*2+2*1.15</f>
        <v>5.5</v>
      </c>
      <c r="E318" s="299">
        <v>1</v>
      </c>
      <c r="F318" s="298">
        <v>1</v>
      </c>
      <c r="G318" s="298">
        <f>ROUND(B318*C318-D318-E318*B318,2)*F318</f>
        <v>11.93</v>
      </c>
    </row>
    <row r="319" spans="1:7">
      <c r="A319" s="381" t="s">
        <v>947</v>
      </c>
      <c r="B319" s="298">
        <v>1.8</v>
      </c>
      <c r="C319" s="299">
        <v>3.5</v>
      </c>
      <c r="D319" s="299"/>
      <c r="E319" s="299">
        <v>1</v>
      </c>
      <c r="F319" s="298">
        <v>1</v>
      </c>
      <c r="G319" s="298">
        <f t="shared" ref="G319:G325" si="16">ROUND(B319*C319-D319-E319*B319,2)*F319</f>
        <v>4.5</v>
      </c>
    </row>
    <row r="320" ht="15.75" customHeight="1" spans="1:7">
      <c r="A320" s="381" t="s">
        <v>948</v>
      </c>
      <c r="B320" s="298">
        <v>4.5</v>
      </c>
      <c r="C320" s="299">
        <v>3.5</v>
      </c>
      <c r="D320" s="299"/>
      <c r="E320" s="299">
        <v>1</v>
      </c>
      <c r="F320" s="298">
        <v>1</v>
      </c>
      <c r="G320" s="298">
        <f t="shared" si="16"/>
        <v>11.25</v>
      </c>
    </row>
    <row r="321" spans="1:7">
      <c r="A321" s="381" t="s">
        <v>949</v>
      </c>
      <c r="B321" s="298">
        <v>14.5</v>
      </c>
      <c r="C321" s="299">
        <v>3.5</v>
      </c>
      <c r="D321" s="299">
        <f>1*0.3*4+2*1.15*2</f>
        <v>5.8</v>
      </c>
      <c r="E321" s="299">
        <v>1</v>
      </c>
      <c r="F321" s="298">
        <v>1</v>
      </c>
      <c r="G321" s="298">
        <f t="shared" si="16"/>
        <v>30.45</v>
      </c>
    </row>
    <row r="322" spans="1:7">
      <c r="A322" s="381" t="s">
        <v>950</v>
      </c>
      <c r="B322" s="298">
        <v>22.795</v>
      </c>
      <c r="C322" s="299">
        <v>3.5</v>
      </c>
      <c r="D322" s="299">
        <f>2*1.15*2+0.8*2.1*2+1.5*1.15+0.3*1</f>
        <v>9.985</v>
      </c>
      <c r="E322" s="299">
        <v>1</v>
      </c>
      <c r="F322" s="298">
        <v>1</v>
      </c>
      <c r="G322" s="298">
        <f t="shared" si="16"/>
        <v>47</v>
      </c>
    </row>
    <row r="323" spans="1:7">
      <c r="A323" s="381" t="s">
        <v>951</v>
      </c>
      <c r="B323" s="298">
        <v>8.25</v>
      </c>
      <c r="C323" s="299">
        <v>3.5</v>
      </c>
      <c r="D323" s="299">
        <f>1.5*1.15*2+1.6*2.1</f>
        <v>6.81</v>
      </c>
      <c r="E323" s="299">
        <v>1</v>
      </c>
      <c r="F323" s="298">
        <v>1</v>
      </c>
      <c r="G323" s="298">
        <f t="shared" si="16"/>
        <v>13.82</v>
      </c>
    </row>
    <row r="324" spans="1:7">
      <c r="A324" s="381" t="s">
        <v>952</v>
      </c>
      <c r="B324" s="298">
        <v>11.3</v>
      </c>
      <c r="C324" s="299">
        <v>3.5</v>
      </c>
      <c r="D324" s="299">
        <f>1.5*1.15*2</f>
        <v>3.45</v>
      </c>
      <c r="E324" s="299">
        <v>1</v>
      </c>
      <c r="F324" s="298">
        <v>1</v>
      </c>
      <c r="G324" s="298">
        <f t="shared" si="16"/>
        <v>24.8</v>
      </c>
    </row>
    <row r="325" spans="1:7">
      <c r="A325" s="381" t="s">
        <v>953</v>
      </c>
      <c r="B325" s="298">
        <v>4</v>
      </c>
      <c r="C325" s="299">
        <v>3.5</v>
      </c>
      <c r="D325" s="299">
        <f>2*1.15</f>
        <v>2.3</v>
      </c>
      <c r="E325" s="299">
        <v>1</v>
      </c>
      <c r="F325" s="298">
        <v>1</v>
      </c>
      <c r="G325" s="298">
        <f t="shared" si="16"/>
        <v>7.7</v>
      </c>
    </row>
    <row r="326" spans="1:7">
      <c r="A326" s="390" t="s">
        <v>989</v>
      </c>
      <c r="B326" s="298">
        <f>D231</f>
        <v>78.193</v>
      </c>
      <c r="C326" s="306">
        <v>1.26</v>
      </c>
      <c r="D326" s="306"/>
      <c r="E326" s="306"/>
      <c r="F326" s="298">
        <v>2</v>
      </c>
      <c r="G326" s="298">
        <f t="shared" ref="G326:G327" si="17">ROUND(B326*C326-D326,2)*F326</f>
        <v>197.04</v>
      </c>
    </row>
    <row r="327" spans="1:7">
      <c r="A327" s="297" t="s">
        <v>990</v>
      </c>
      <c r="B327" s="298">
        <v>13.5</v>
      </c>
      <c r="C327" s="299">
        <v>3</v>
      </c>
      <c r="D327" s="299">
        <f>0.7*2.1</f>
        <v>1.47</v>
      </c>
      <c r="E327" s="299"/>
      <c r="F327" s="298">
        <v>2</v>
      </c>
      <c r="G327" s="298">
        <f t="shared" si="17"/>
        <v>78.06</v>
      </c>
    </row>
    <row r="328" spans="1:7">
      <c r="A328" s="307" t="s">
        <v>991</v>
      </c>
      <c r="B328" s="298"/>
      <c r="C328" s="299"/>
      <c r="D328" s="299"/>
      <c r="E328" s="299"/>
      <c r="F328" s="298"/>
      <c r="G328" s="298"/>
    </row>
    <row r="329" spans="1:10">
      <c r="A329" s="381" t="s">
        <v>946</v>
      </c>
      <c r="B329" s="299">
        <v>6.97</v>
      </c>
      <c r="C329" s="299">
        <v>3.15</v>
      </c>
      <c r="D329" s="299">
        <f>1.6*2+2*1.15</f>
        <v>5.5</v>
      </c>
      <c r="E329" s="299"/>
      <c r="F329" s="298">
        <v>1</v>
      </c>
      <c r="G329" s="298">
        <f>ROUND(B329*C329-D329-E329,2)*F329</f>
        <v>16.46</v>
      </c>
      <c r="I329" s="381" t="s">
        <v>946</v>
      </c>
      <c r="J329" s="299">
        <v>6.97</v>
      </c>
    </row>
    <row r="330" spans="1:10">
      <c r="A330" s="381" t="s">
        <v>947</v>
      </c>
      <c r="B330" s="299">
        <v>1.8</v>
      </c>
      <c r="C330" s="299">
        <v>3.15</v>
      </c>
      <c r="D330" s="299"/>
      <c r="E330" s="299">
        <f>1*1.8</f>
        <v>1.8</v>
      </c>
      <c r="F330" s="298">
        <v>1</v>
      </c>
      <c r="G330" s="298">
        <f t="shared" ref="G330:G332" si="18">ROUND(B330*C330-D330-E330,2)*F330</f>
        <v>3.87</v>
      </c>
      <c r="I330" s="381" t="s">
        <v>947</v>
      </c>
      <c r="J330" s="299">
        <v>1.8</v>
      </c>
    </row>
    <row r="331" spans="1:10">
      <c r="A331" s="381" t="s">
        <v>948</v>
      </c>
      <c r="B331" s="299">
        <v>4.5</v>
      </c>
      <c r="C331" s="299">
        <v>3.15</v>
      </c>
      <c r="D331" s="299"/>
      <c r="E331" s="299">
        <f>4.2*1.8</f>
        <v>7.56</v>
      </c>
      <c r="F331" s="298">
        <v>1</v>
      </c>
      <c r="G331" s="298">
        <f t="shared" si="18"/>
        <v>6.62</v>
      </c>
      <c r="I331" s="381" t="s">
        <v>948</v>
      </c>
      <c r="J331" s="299">
        <v>4.5</v>
      </c>
    </row>
    <row r="332" spans="1:10">
      <c r="A332" s="381" t="s">
        <v>949</v>
      </c>
      <c r="B332" s="299">
        <v>14.2</v>
      </c>
      <c r="C332" s="299">
        <v>3.15</v>
      </c>
      <c r="D332" s="299">
        <f>1*0.3*4+2*1.15*2</f>
        <v>5.8</v>
      </c>
      <c r="E332" s="299">
        <f>(2.5+1.55+2+1.3)*1.8</f>
        <v>13.23</v>
      </c>
      <c r="F332" s="298">
        <v>1</v>
      </c>
      <c r="G332" s="298">
        <f t="shared" si="18"/>
        <v>25.7</v>
      </c>
      <c r="I332" s="381" t="s">
        <v>949</v>
      </c>
      <c r="J332" s="299">
        <v>14.2</v>
      </c>
    </row>
    <row r="333" spans="1:10">
      <c r="A333" s="381" t="s">
        <v>950</v>
      </c>
      <c r="B333" s="299">
        <v>22.795</v>
      </c>
      <c r="C333" s="299">
        <v>3.15</v>
      </c>
      <c r="D333" s="299">
        <f>2*1.15*2+1*0.3*0.8*2.1*2+1.5*1.15</f>
        <v>7.333</v>
      </c>
      <c r="E333" s="299">
        <v>9.954</v>
      </c>
      <c r="F333" s="298">
        <v>1</v>
      </c>
      <c r="G333" s="298">
        <v>54.516</v>
      </c>
      <c r="I333" s="381" t="s">
        <v>950</v>
      </c>
      <c r="J333" s="299">
        <v>22.795</v>
      </c>
    </row>
    <row r="334" spans="1:10">
      <c r="A334" s="381" t="s">
        <v>951</v>
      </c>
      <c r="B334" s="299">
        <v>8.25</v>
      </c>
      <c r="C334" s="299">
        <v>3.15</v>
      </c>
      <c r="D334" s="299">
        <v>6.81</v>
      </c>
      <c r="E334" s="299"/>
      <c r="F334" s="298">
        <v>1</v>
      </c>
      <c r="G334" s="298">
        <f t="shared" ref="G334:G359" si="19">ROUND(B334*C334-D334,2)*F334-E334</f>
        <v>19.18</v>
      </c>
      <c r="I334" s="381" t="s">
        <v>951</v>
      </c>
      <c r="J334" s="299">
        <v>8.25</v>
      </c>
    </row>
    <row r="335" spans="1:10">
      <c r="A335" s="381" t="s">
        <v>952</v>
      </c>
      <c r="B335" s="299">
        <v>11.3</v>
      </c>
      <c r="C335" s="299">
        <v>3.15</v>
      </c>
      <c r="D335" s="299">
        <f>1.5*1.15*2</f>
        <v>3.45</v>
      </c>
      <c r="E335" s="299"/>
      <c r="F335" s="298">
        <v>1</v>
      </c>
      <c r="G335" s="298">
        <f t="shared" si="19"/>
        <v>32.15</v>
      </c>
      <c r="I335" s="381" t="s">
        <v>952</v>
      </c>
      <c r="J335" s="299">
        <v>11.3</v>
      </c>
    </row>
    <row r="336" spans="1:10">
      <c r="A336" s="381" t="s">
        <v>953</v>
      </c>
      <c r="B336" s="299">
        <v>4</v>
      </c>
      <c r="C336" s="299">
        <v>3.15</v>
      </c>
      <c r="D336" s="299">
        <f>2*1.15</f>
        <v>2.3</v>
      </c>
      <c r="E336" s="299"/>
      <c r="F336" s="298">
        <v>1</v>
      </c>
      <c r="G336" s="298">
        <f t="shared" si="19"/>
        <v>10.3</v>
      </c>
      <c r="I336" s="381" t="s">
        <v>953</v>
      </c>
      <c r="J336" s="299">
        <v>4</v>
      </c>
    </row>
    <row r="337" spans="1:10">
      <c r="A337" s="381" t="s">
        <v>954</v>
      </c>
      <c r="B337" s="299">
        <v>1.2</v>
      </c>
      <c r="C337" s="299">
        <v>3.15</v>
      </c>
      <c r="D337" s="299">
        <f>0.8*2.1</f>
        <v>1.68</v>
      </c>
      <c r="E337" s="299">
        <f>(1.2-0.8)*1.8</f>
        <v>0.72</v>
      </c>
      <c r="F337" s="298">
        <v>2</v>
      </c>
      <c r="G337" s="298">
        <f t="shared" si="19"/>
        <v>3.48</v>
      </c>
      <c r="I337" s="381" t="s">
        <v>954</v>
      </c>
      <c r="J337" s="299">
        <v>1.2</v>
      </c>
    </row>
    <row r="338" spans="1:10">
      <c r="A338" s="381" t="s">
        <v>955</v>
      </c>
      <c r="B338" s="299">
        <v>4.35</v>
      </c>
      <c r="C338" s="299">
        <v>3.15</v>
      </c>
      <c r="D338" s="299">
        <f>0.9*2.1</f>
        <v>1.89</v>
      </c>
      <c r="E338" s="299">
        <f>(4.35-0.8)*1.8</f>
        <v>6.39</v>
      </c>
      <c r="F338" s="298">
        <v>2</v>
      </c>
      <c r="G338" s="298">
        <f t="shared" si="19"/>
        <v>17.23</v>
      </c>
      <c r="I338" s="381" t="s">
        <v>955</v>
      </c>
      <c r="J338" s="299">
        <v>4.35</v>
      </c>
    </row>
    <row r="339" spans="1:10">
      <c r="A339" s="381" t="s">
        <v>956</v>
      </c>
      <c r="B339" s="299">
        <v>2.85</v>
      </c>
      <c r="C339" s="299">
        <v>3.15</v>
      </c>
      <c r="D339" s="299"/>
      <c r="E339" s="299">
        <f>2.85*1.8*2</f>
        <v>10.26</v>
      </c>
      <c r="F339" s="298">
        <v>2</v>
      </c>
      <c r="G339" s="298">
        <f t="shared" si="19"/>
        <v>7.7</v>
      </c>
      <c r="I339" s="381" t="s">
        <v>956</v>
      </c>
      <c r="J339" s="299">
        <v>2.85</v>
      </c>
    </row>
    <row r="340" spans="1:10">
      <c r="A340" s="381" t="s">
        <v>957</v>
      </c>
      <c r="B340" s="299">
        <v>2.85</v>
      </c>
      <c r="C340" s="299">
        <v>3.15</v>
      </c>
      <c r="D340" s="299"/>
      <c r="E340" s="299">
        <f>2.85*2*1.8</f>
        <v>10.26</v>
      </c>
      <c r="F340" s="298">
        <v>2</v>
      </c>
      <c r="G340" s="298">
        <f t="shared" si="19"/>
        <v>7.7</v>
      </c>
      <c r="I340" s="381" t="s">
        <v>957</v>
      </c>
      <c r="J340" s="299">
        <v>2.85</v>
      </c>
    </row>
    <row r="341" spans="1:10">
      <c r="A341" s="381" t="s">
        <v>958</v>
      </c>
      <c r="B341" s="299">
        <v>1.2</v>
      </c>
      <c r="C341" s="299">
        <v>3.15</v>
      </c>
      <c r="D341" s="299">
        <f>0.8*2.1</f>
        <v>1.68</v>
      </c>
      <c r="E341" s="299">
        <f>(1.2-0.8)*1.8</f>
        <v>0.72</v>
      </c>
      <c r="F341" s="298">
        <v>2</v>
      </c>
      <c r="G341" s="298">
        <f t="shared" si="19"/>
        <v>3.48</v>
      </c>
      <c r="I341" s="381" t="s">
        <v>958</v>
      </c>
      <c r="J341" s="299">
        <v>1.2</v>
      </c>
    </row>
    <row r="342" spans="1:10">
      <c r="A342" s="381" t="s">
        <v>959</v>
      </c>
      <c r="B342" s="299">
        <v>4.2</v>
      </c>
      <c r="C342" s="299">
        <v>3.15</v>
      </c>
      <c r="D342" s="299"/>
      <c r="E342" s="299">
        <f>4.2*1.8</f>
        <v>7.56</v>
      </c>
      <c r="F342" s="298">
        <v>2</v>
      </c>
      <c r="G342" s="298">
        <f t="shared" si="19"/>
        <v>18.9</v>
      </c>
      <c r="I342" s="381" t="s">
        <v>959</v>
      </c>
      <c r="J342" s="299">
        <v>4.2</v>
      </c>
    </row>
    <row r="343" spans="1:10">
      <c r="A343" s="381" t="s">
        <v>960</v>
      </c>
      <c r="B343" s="299">
        <v>12.4</v>
      </c>
      <c r="C343" s="299">
        <v>3.15</v>
      </c>
      <c r="D343" s="299">
        <f>2.75*2.1+0.8*2.1</f>
        <v>7.455</v>
      </c>
      <c r="E343" s="299">
        <f>2*1.8</f>
        <v>3.6</v>
      </c>
      <c r="F343" s="298">
        <v>2</v>
      </c>
      <c r="G343" s="298">
        <f t="shared" si="19"/>
        <v>59.62</v>
      </c>
      <c r="I343" s="381" t="s">
        <v>960</v>
      </c>
      <c r="J343" s="299">
        <v>12.4</v>
      </c>
    </row>
    <row r="344" spans="1:10">
      <c r="A344" s="381" t="s">
        <v>961</v>
      </c>
      <c r="B344" s="299">
        <v>12.25</v>
      </c>
      <c r="C344" s="299">
        <v>3.15</v>
      </c>
      <c r="D344" s="299">
        <f>0.8*2.1*2</f>
        <v>3.36</v>
      </c>
      <c r="E344" s="299">
        <f>2*1.8</f>
        <v>3.6</v>
      </c>
      <c r="F344" s="298">
        <v>2</v>
      </c>
      <c r="G344" s="298">
        <f t="shared" si="19"/>
        <v>66.86</v>
      </c>
      <c r="I344" s="381" t="s">
        <v>961</v>
      </c>
      <c r="J344" s="299">
        <v>12.25</v>
      </c>
    </row>
    <row r="345" spans="1:10">
      <c r="A345" s="381" t="s">
        <v>962</v>
      </c>
      <c r="B345" s="299">
        <v>1.3</v>
      </c>
      <c r="C345" s="299">
        <v>3.15</v>
      </c>
      <c r="D345" s="299"/>
      <c r="E345" s="299">
        <f>1.3*1.8</f>
        <v>2.34</v>
      </c>
      <c r="F345" s="298">
        <v>2</v>
      </c>
      <c r="G345" s="298">
        <f t="shared" si="19"/>
        <v>5.86</v>
      </c>
      <c r="I345" s="381" t="s">
        <v>962</v>
      </c>
      <c r="J345" s="299">
        <v>1.3</v>
      </c>
    </row>
    <row r="346" spans="1:10">
      <c r="A346" s="381" t="s">
        <v>884</v>
      </c>
      <c r="B346" s="299">
        <v>2.15</v>
      </c>
      <c r="C346" s="299">
        <v>3.15</v>
      </c>
      <c r="D346" s="299">
        <f>0.8*2.1</f>
        <v>1.68</v>
      </c>
      <c r="E346" s="299">
        <v>2.16</v>
      </c>
      <c r="F346" s="298">
        <v>2</v>
      </c>
      <c r="G346" s="298">
        <f t="shared" si="19"/>
        <v>8.02</v>
      </c>
      <c r="I346" s="381" t="s">
        <v>884</v>
      </c>
      <c r="J346" s="299">
        <v>2.15</v>
      </c>
    </row>
    <row r="347" spans="1:10">
      <c r="A347" s="381" t="s">
        <v>963</v>
      </c>
      <c r="B347" s="299">
        <v>13.775</v>
      </c>
      <c r="C347" s="299">
        <v>3.15</v>
      </c>
      <c r="D347" s="299">
        <f>0.8*2.1*2+1.475*2</f>
        <v>6.31</v>
      </c>
      <c r="E347" s="299"/>
      <c r="F347" s="298">
        <v>2</v>
      </c>
      <c r="G347" s="298">
        <f t="shared" si="19"/>
        <v>74.16</v>
      </c>
      <c r="I347" s="381" t="s">
        <v>963</v>
      </c>
      <c r="J347" s="299">
        <v>13.775</v>
      </c>
    </row>
    <row r="348" spans="1:10">
      <c r="A348" s="381" t="s">
        <v>964</v>
      </c>
      <c r="B348" s="299">
        <v>4.1</v>
      </c>
      <c r="C348" s="299">
        <v>3.15</v>
      </c>
      <c r="D348" s="299">
        <f>0.8*2.1</f>
        <v>1.68</v>
      </c>
      <c r="E348" s="299">
        <f>2*1.8</f>
        <v>3.6</v>
      </c>
      <c r="F348" s="298">
        <v>2</v>
      </c>
      <c r="G348" s="298">
        <f t="shared" si="19"/>
        <v>18.88</v>
      </c>
      <c r="I348" s="381" t="s">
        <v>964</v>
      </c>
      <c r="J348" s="299">
        <v>4.1</v>
      </c>
    </row>
    <row r="349" spans="1:10">
      <c r="A349" s="381" t="s">
        <v>965</v>
      </c>
      <c r="B349" s="299">
        <v>1.3</v>
      </c>
      <c r="C349" s="299">
        <v>3.15</v>
      </c>
      <c r="D349" s="299"/>
      <c r="E349" s="299">
        <f>1.3*1.8</f>
        <v>2.34</v>
      </c>
      <c r="F349" s="298">
        <v>2</v>
      </c>
      <c r="G349" s="298">
        <f t="shared" si="19"/>
        <v>5.86</v>
      </c>
      <c r="I349" s="381" t="s">
        <v>965</v>
      </c>
      <c r="J349" s="299">
        <v>1.3</v>
      </c>
    </row>
    <row r="350" spans="1:10">
      <c r="A350" s="381" t="s">
        <v>966</v>
      </c>
      <c r="B350" s="299">
        <v>2.15</v>
      </c>
      <c r="C350" s="299">
        <v>3.15</v>
      </c>
      <c r="D350" s="299">
        <f>0.8*2.1</f>
        <v>1.68</v>
      </c>
      <c r="E350" s="299">
        <f>(2-0.8)*2</f>
        <v>2.4</v>
      </c>
      <c r="F350" s="298">
        <v>2</v>
      </c>
      <c r="G350" s="298">
        <f t="shared" si="19"/>
        <v>7.78</v>
      </c>
      <c r="I350" s="381" t="s">
        <v>966</v>
      </c>
      <c r="J350" s="299">
        <v>2.15</v>
      </c>
    </row>
    <row r="351" spans="1:10">
      <c r="A351" s="381" t="s">
        <v>967</v>
      </c>
      <c r="B351" s="299">
        <v>4.1</v>
      </c>
      <c r="C351" s="299">
        <v>3.15</v>
      </c>
      <c r="D351" s="299">
        <f>0.8*2.1</f>
        <v>1.68</v>
      </c>
      <c r="E351" s="299">
        <f>(1.5+1.65)*1.8</f>
        <v>5.67</v>
      </c>
      <c r="F351" s="298">
        <v>2</v>
      </c>
      <c r="G351" s="298">
        <f t="shared" si="19"/>
        <v>16.81</v>
      </c>
      <c r="I351" s="381" t="s">
        <v>967</v>
      </c>
      <c r="J351" s="299">
        <v>4.1</v>
      </c>
    </row>
    <row r="352" spans="1:10">
      <c r="A352" s="381" t="s">
        <v>968</v>
      </c>
      <c r="B352" s="299">
        <v>1.5</v>
      </c>
      <c r="C352" s="299">
        <v>3.15</v>
      </c>
      <c r="D352" s="299">
        <f>0.8*2.1</f>
        <v>1.68</v>
      </c>
      <c r="E352" s="299">
        <f>(1.5-0.8)*1.8</f>
        <v>1.26</v>
      </c>
      <c r="F352" s="298">
        <v>2</v>
      </c>
      <c r="G352" s="298">
        <f t="shared" si="19"/>
        <v>4.84</v>
      </c>
      <c r="I352" s="381" t="s">
        <v>968</v>
      </c>
      <c r="J352" s="299">
        <v>1.5</v>
      </c>
    </row>
    <row r="353" spans="1:10">
      <c r="A353" s="381" t="s">
        <v>969</v>
      </c>
      <c r="B353" s="299">
        <v>1.5</v>
      </c>
      <c r="C353" s="299">
        <v>3.15</v>
      </c>
      <c r="D353" s="299">
        <f>1*0.3</f>
        <v>0.3</v>
      </c>
      <c r="E353" s="299">
        <f>1.5*2*1.8</f>
        <v>5.4</v>
      </c>
      <c r="F353" s="298">
        <v>2</v>
      </c>
      <c r="G353" s="298">
        <f t="shared" si="19"/>
        <v>3.46</v>
      </c>
      <c r="I353" s="381" t="s">
        <v>969</v>
      </c>
      <c r="J353" s="299">
        <v>1.5</v>
      </c>
    </row>
    <row r="354" spans="1:10">
      <c r="A354" s="297" t="s">
        <v>885</v>
      </c>
      <c r="B354" s="299">
        <v>3.45</v>
      </c>
      <c r="C354" s="299">
        <v>3.15</v>
      </c>
      <c r="D354" s="299"/>
      <c r="E354" s="299">
        <f>1.5*1.8+1.65*1.8</f>
        <v>5.67</v>
      </c>
      <c r="F354" s="298">
        <v>2</v>
      </c>
      <c r="G354" s="298">
        <f t="shared" si="19"/>
        <v>16.07</v>
      </c>
      <c r="I354" s="297" t="s">
        <v>885</v>
      </c>
      <c r="J354" s="299">
        <v>3.45</v>
      </c>
    </row>
    <row r="355" spans="1:10">
      <c r="A355" s="297" t="s">
        <v>970</v>
      </c>
      <c r="B355" s="299">
        <v>3.45</v>
      </c>
      <c r="C355" s="299">
        <v>3.15</v>
      </c>
      <c r="D355" s="299"/>
      <c r="E355" s="299">
        <f>3.3*1.8</f>
        <v>5.94</v>
      </c>
      <c r="F355" s="298">
        <v>2</v>
      </c>
      <c r="G355" s="298">
        <f t="shared" si="19"/>
        <v>15.8</v>
      </c>
      <c r="I355" s="297" t="s">
        <v>970</v>
      </c>
      <c r="J355" s="299">
        <v>3.45</v>
      </c>
    </row>
    <row r="356" spans="1:10">
      <c r="A356" s="297" t="s">
        <v>971</v>
      </c>
      <c r="B356" s="299">
        <v>2.745</v>
      </c>
      <c r="C356" s="299">
        <v>3.15</v>
      </c>
      <c r="D356" s="299">
        <f>0.8*2.1</f>
        <v>1.68</v>
      </c>
      <c r="E356" s="299">
        <f>(2.73-0.8)*1.8</f>
        <v>3.474</v>
      </c>
      <c r="F356" s="298">
        <v>2</v>
      </c>
      <c r="G356" s="298">
        <f t="shared" si="19"/>
        <v>10.466</v>
      </c>
      <c r="I356" s="297" t="s">
        <v>971</v>
      </c>
      <c r="J356" s="299">
        <v>2.725</v>
      </c>
    </row>
    <row r="357" spans="1:10">
      <c r="A357" s="297" t="s">
        <v>972</v>
      </c>
      <c r="B357" s="299">
        <v>8.25</v>
      </c>
      <c r="C357" s="299">
        <v>3.15</v>
      </c>
      <c r="D357" s="299">
        <f>1.6*2.1</f>
        <v>3.36</v>
      </c>
      <c r="E357" s="299">
        <f>3.3*1.8</f>
        <v>5.94</v>
      </c>
      <c r="F357" s="298">
        <v>2</v>
      </c>
      <c r="G357" s="298">
        <f t="shared" si="19"/>
        <v>39.32</v>
      </c>
      <c r="I357" s="297" t="s">
        <v>972</v>
      </c>
      <c r="J357" s="299">
        <v>8.25</v>
      </c>
    </row>
    <row r="358" spans="1:10">
      <c r="A358" s="297" t="s">
        <v>973</v>
      </c>
      <c r="B358" s="299">
        <v>2.35</v>
      </c>
      <c r="C358" s="299">
        <v>3.15</v>
      </c>
      <c r="D358" s="299"/>
      <c r="E358" s="299"/>
      <c r="F358" s="298">
        <v>2</v>
      </c>
      <c r="G358" s="298">
        <f t="shared" si="19"/>
        <v>14.8</v>
      </c>
      <c r="I358" s="297" t="s">
        <v>973</v>
      </c>
      <c r="J358" s="299">
        <v>2.35</v>
      </c>
    </row>
    <row r="359" spans="1:10">
      <c r="A359" s="297" t="s">
        <v>974</v>
      </c>
      <c r="B359" s="299">
        <v>2.35</v>
      </c>
      <c r="C359" s="299">
        <v>3.15</v>
      </c>
      <c r="D359" s="299"/>
      <c r="E359" s="299"/>
      <c r="F359" s="298">
        <v>2</v>
      </c>
      <c r="G359" s="298">
        <f t="shared" si="19"/>
        <v>14.8</v>
      </c>
      <c r="I359" s="297" t="s">
        <v>974</v>
      </c>
      <c r="J359" s="299">
        <v>2.35</v>
      </c>
    </row>
    <row r="360" spans="1:7">
      <c r="A360" s="297" t="s">
        <v>992</v>
      </c>
      <c r="B360" s="298"/>
      <c r="C360" s="299"/>
      <c r="D360" s="299"/>
      <c r="E360" s="299"/>
      <c r="F360" s="298"/>
      <c r="G360" s="298">
        <f>341-263</f>
        <v>78</v>
      </c>
    </row>
    <row r="361" spans="1:7">
      <c r="A361" s="309"/>
      <c r="B361" s="310"/>
      <c r="C361" s="310"/>
      <c r="D361" s="311"/>
      <c r="E361" s="373" t="s">
        <v>734</v>
      </c>
      <c r="F361" s="363"/>
      <c r="G361" s="364">
        <f>SUM(G318:G360)</f>
        <v>1115.242</v>
      </c>
    </row>
    <row r="362" spans="1:7">
      <c r="A362" s="341"/>
      <c r="B362" s="341"/>
      <c r="C362" s="342"/>
      <c r="D362" s="342"/>
      <c r="E362" s="342"/>
      <c r="F362" s="341"/>
      <c r="G362" s="341"/>
    </row>
    <row r="363" spans="1:7">
      <c r="A363" s="290" t="s">
        <v>1011</v>
      </c>
      <c r="B363" s="291"/>
      <c r="C363" s="291"/>
      <c r="D363" s="291"/>
      <c r="E363" s="291"/>
      <c r="F363" s="291"/>
      <c r="G363" s="292"/>
    </row>
    <row r="364" ht="21" spans="1:9">
      <c r="A364" s="400" t="s">
        <v>1012</v>
      </c>
      <c r="B364" s="371"/>
      <c r="C364" s="370"/>
      <c r="D364" s="370" t="s">
        <v>1013</v>
      </c>
      <c r="E364" s="370" t="s">
        <v>817</v>
      </c>
      <c r="F364" s="371" t="s">
        <v>8</v>
      </c>
      <c r="G364" s="376" t="s">
        <v>818</v>
      </c>
      <c r="I364" s="275"/>
    </row>
    <row r="365" spans="1:9">
      <c r="A365" s="401" t="s">
        <v>946</v>
      </c>
      <c r="B365" s="402"/>
      <c r="C365" s="403"/>
      <c r="D365" s="306"/>
      <c r="E365" s="306">
        <v>2.1</v>
      </c>
      <c r="F365" s="404">
        <v>14</v>
      </c>
      <c r="G365" s="306">
        <v>0.8</v>
      </c>
      <c r="I365" s="275"/>
    </row>
    <row r="366" spans="1:9">
      <c r="A366" s="401" t="s">
        <v>947</v>
      </c>
      <c r="B366" s="402"/>
      <c r="C366" s="403"/>
      <c r="D366" s="405"/>
      <c r="E366" s="306">
        <v>2.1</v>
      </c>
      <c r="F366" s="404">
        <v>1</v>
      </c>
      <c r="G366" s="306">
        <v>0.9</v>
      </c>
      <c r="I366" s="275"/>
    </row>
    <row r="367" spans="1:9">
      <c r="A367" s="401" t="s">
        <v>948</v>
      </c>
      <c r="B367" s="402"/>
      <c r="C367" s="403"/>
      <c r="D367" s="405"/>
      <c r="E367" s="306">
        <v>2.1</v>
      </c>
      <c r="F367" s="404">
        <v>2</v>
      </c>
      <c r="G367" s="306">
        <v>1.6</v>
      </c>
      <c r="I367" s="275"/>
    </row>
    <row r="368" spans="1:9">
      <c r="A368" s="401" t="s">
        <v>949</v>
      </c>
      <c r="B368" s="402"/>
      <c r="C368" s="403"/>
      <c r="D368" s="405">
        <f>E368*F368*G368</f>
        <v>3.24</v>
      </c>
      <c r="E368" s="306">
        <v>1.8</v>
      </c>
      <c r="F368" s="404">
        <v>3</v>
      </c>
      <c r="G368" s="306">
        <v>0.6</v>
      </c>
      <c r="I368" s="275"/>
    </row>
    <row r="369" spans="1:9">
      <c r="A369" s="401" t="s">
        <v>950</v>
      </c>
      <c r="B369" s="402"/>
      <c r="C369" s="403"/>
      <c r="D369" s="405"/>
      <c r="E369" s="306">
        <v>2.1</v>
      </c>
      <c r="F369" s="404">
        <v>1</v>
      </c>
      <c r="G369" s="306">
        <v>1.6</v>
      </c>
      <c r="I369" s="275"/>
    </row>
    <row r="370" spans="1:9">
      <c r="A370" s="401" t="s">
        <v>1014</v>
      </c>
      <c r="B370" s="402"/>
      <c r="C370" s="403"/>
      <c r="D370" s="405">
        <f>ROUND(E370*G370,2)*F370</f>
        <v>2.94</v>
      </c>
      <c r="E370" s="405">
        <v>2.1</v>
      </c>
      <c r="F370" s="406">
        <v>2</v>
      </c>
      <c r="G370" s="405">
        <v>0.7</v>
      </c>
      <c r="I370" s="275"/>
    </row>
    <row r="371" spans="1:9">
      <c r="A371" s="407" t="s">
        <v>1015</v>
      </c>
      <c r="B371" s="407"/>
      <c r="C371" s="405"/>
      <c r="D371" s="405"/>
      <c r="E371" s="405">
        <v>2.1</v>
      </c>
      <c r="F371" s="406">
        <v>1</v>
      </c>
      <c r="G371" s="405">
        <v>2.75</v>
      </c>
      <c r="I371" s="275"/>
    </row>
    <row r="372" spans="1:9">
      <c r="A372" s="407" t="s">
        <v>1016</v>
      </c>
      <c r="B372" s="408"/>
      <c r="C372" s="409"/>
      <c r="D372" s="409"/>
      <c r="E372" s="405">
        <v>2.1</v>
      </c>
      <c r="F372" s="406">
        <v>1</v>
      </c>
      <c r="G372" s="405">
        <v>1.475</v>
      </c>
      <c r="I372" s="275"/>
    </row>
    <row r="373" spans="1:9">
      <c r="A373" s="407"/>
      <c r="B373" s="408"/>
      <c r="C373" s="409"/>
      <c r="D373" s="409"/>
      <c r="E373" s="405"/>
      <c r="F373" s="406"/>
      <c r="G373" s="405"/>
      <c r="I373" s="275"/>
    </row>
    <row r="374" spans="1:9">
      <c r="A374" s="410"/>
      <c r="B374" s="408"/>
      <c r="C374" s="409"/>
      <c r="D374" s="409"/>
      <c r="E374" s="409"/>
      <c r="F374" s="411"/>
      <c r="G374" s="411"/>
      <c r="I374" s="275"/>
    </row>
    <row r="375" spans="1:9">
      <c r="A375" s="412" t="s">
        <v>1017</v>
      </c>
      <c r="B375" s="303"/>
      <c r="C375" s="304"/>
      <c r="D375" s="304"/>
      <c r="E375" s="304"/>
      <c r="F375" s="303"/>
      <c r="G375" s="413">
        <f>F365*G365+F366*G366+G370*F370+G372*F372</f>
        <v>14.975</v>
      </c>
      <c r="I375" s="275"/>
    </row>
    <row r="376" spans="1:9">
      <c r="A376" s="412" t="s">
        <v>1018</v>
      </c>
      <c r="B376" s="303"/>
      <c r="C376" s="304"/>
      <c r="D376" s="304"/>
      <c r="E376" s="304"/>
      <c r="F376" s="303"/>
      <c r="G376" s="413">
        <f>F367*G367+F371*G371+F369*G369</f>
        <v>7.55</v>
      </c>
      <c r="I376" s="275"/>
    </row>
    <row r="377" spans="1:9">
      <c r="A377" s="414"/>
      <c r="B377" s="415"/>
      <c r="C377" s="416"/>
      <c r="D377" s="416"/>
      <c r="E377" s="416"/>
      <c r="F377" s="415"/>
      <c r="G377" s="415"/>
      <c r="I377" s="275"/>
    </row>
    <row r="378" spans="1:9">
      <c r="A378" s="417" t="s">
        <v>1019</v>
      </c>
      <c r="B378" s="418"/>
      <c r="C378" s="418"/>
      <c r="D378" s="419"/>
      <c r="E378" s="419"/>
      <c r="F378" s="419"/>
      <c r="G378" s="377"/>
      <c r="I378" s="275"/>
    </row>
    <row r="379" spans="1:9">
      <c r="A379" s="381"/>
      <c r="B379" s="394"/>
      <c r="C379" s="382"/>
      <c r="D379" s="304" t="s">
        <v>1020</v>
      </c>
      <c r="E379" s="420" t="s">
        <v>1021</v>
      </c>
      <c r="F379" s="358" t="s">
        <v>1022</v>
      </c>
      <c r="G379" s="358" t="s">
        <v>853</v>
      </c>
      <c r="I379" s="275"/>
    </row>
    <row r="380" spans="1:9">
      <c r="A380" s="297" t="s">
        <v>1023</v>
      </c>
      <c r="B380" s="394"/>
      <c r="C380" s="382"/>
      <c r="D380" s="306">
        <v>0.3</v>
      </c>
      <c r="E380" s="306">
        <v>1</v>
      </c>
      <c r="F380" s="298">
        <v>6</v>
      </c>
      <c r="G380" s="298">
        <f>D380*E380*F380</f>
        <v>1.8</v>
      </c>
      <c r="I380" s="275"/>
    </row>
    <row r="381" spans="1:9">
      <c r="A381" s="297" t="s">
        <v>1024</v>
      </c>
      <c r="B381" s="394"/>
      <c r="C381" s="382"/>
      <c r="D381" s="306">
        <v>1.15</v>
      </c>
      <c r="E381" s="306">
        <v>1.5</v>
      </c>
      <c r="F381" s="298">
        <v>5</v>
      </c>
      <c r="G381" s="298">
        <f>D381*E381*F381</f>
        <v>8.625</v>
      </c>
      <c r="I381" s="275"/>
    </row>
    <row r="382" spans="1:9">
      <c r="A382" s="297" t="s">
        <v>1025</v>
      </c>
      <c r="B382" s="394"/>
      <c r="C382" s="382"/>
      <c r="D382" s="306">
        <v>1.15</v>
      </c>
      <c r="E382" s="306">
        <v>2</v>
      </c>
      <c r="F382" s="298">
        <v>6</v>
      </c>
      <c r="G382" s="298">
        <f>D382*E382*F382</f>
        <v>13.8</v>
      </c>
      <c r="I382" s="275"/>
    </row>
    <row r="383" spans="1:9">
      <c r="A383" s="297"/>
      <c r="B383" s="394"/>
      <c r="C383" s="382"/>
      <c r="D383" s="304"/>
      <c r="E383" s="304"/>
      <c r="F383" s="298"/>
      <c r="G383" s="298"/>
      <c r="I383" s="275"/>
    </row>
    <row r="384" spans="1:9">
      <c r="A384" s="297" t="s">
        <v>1026</v>
      </c>
      <c r="B384" s="394"/>
      <c r="C384" s="382"/>
      <c r="D384" s="304"/>
      <c r="E384" s="304"/>
      <c r="F384" s="298"/>
      <c r="G384" s="298">
        <f>E380*F380+E381*F381</f>
        <v>13.5</v>
      </c>
      <c r="I384" s="275"/>
    </row>
    <row r="385" spans="1:9">
      <c r="A385" s="297" t="s">
        <v>1027</v>
      </c>
      <c r="B385" s="394"/>
      <c r="C385" s="382"/>
      <c r="D385" s="304"/>
      <c r="E385" s="304"/>
      <c r="F385" s="298"/>
      <c r="G385" s="298">
        <f>F382*E382</f>
        <v>12</v>
      </c>
      <c r="I385" s="275"/>
    </row>
    <row r="386" spans="1:9">
      <c r="A386" s="297" t="s">
        <v>1028</v>
      </c>
      <c r="B386" s="394"/>
      <c r="C386" s="382"/>
      <c r="D386" s="304"/>
      <c r="E386" s="304"/>
      <c r="F386" s="298"/>
      <c r="G386" s="298">
        <f>G384</f>
        <v>13.5</v>
      </c>
      <c r="I386" s="275"/>
    </row>
    <row r="387" spans="1:9">
      <c r="A387" s="297" t="s">
        <v>1029</v>
      </c>
      <c r="B387" s="394"/>
      <c r="C387" s="382"/>
      <c r="D387" s="304"/>
      <c r="E387" s="304"/>
      <c r="F387" s="298"/>
      <c r="G387" s="298">
        <f>G385</f>
        <v>12</v>
      </c>
      <c r="I387" s="275"/>
    </row>
    <row r="388" spans="1:9">
      <c r="A388" s="297"/>
      <c r="B388" s="394"/>
      <c r="C388" s="382"/>
      <c r="D388" s="304"/>
      <c r="E388" s="304"/>
      <c r="F388" s="298"/>
      <c r="G388" s="298"/>
      <c r="I388" s="275"/>
    </row>
    <row r="389" spans="1:9">
      <c r="A389" s="297" t="s">
        <v>1030</v>
      </c>
      <c r="B389" s="394"/>
      <c r="C389" s="382"/>
      <c r="D389" s="304"/>
      <c r="E389" s="304"/>
      <c r="F389" s="298"/>
      <c r="G389" s="298">
        <f>G380+G381+G382+G369*E369-D380*E380</f>
        <v>27.285</v>
      </c>
      <c r="I389" s="275"/>
    </row>
    <row r="390" spans="1:9">
      <c r="A390" s="419" t="s">
        <v>734</v>
      </c>
      <c r="B390" s="419"/>
      <c r="C390" s="419"/>
      <c r="D390" s="419"/>
      <c r="E390" s="419"/>
      <c r="F390" s="419"/>
      <c r="G390" s="377"/>
      <c r="I390" s="275"/>
    </row>
    <row r="391" spans="1:9">
      <c r="A391" s="297"/>
      <c r="B391" s="394"/>
      <c r="C391" s="382"/>
      <c r="D391" s="304"/>
      <c r="E391" s="304"/>
      <c r="F391" s="298"/>
      <c r="G391" s="298"/>
      <c r="I391" s="275"/>
    </row>
    <row r="392" spans="1:9">
      <c r="A392" s="421" t="s">
        <v>1031</v>
      </c>
      <c r="B392" s="419"/>
      <c r="C392" s="419"/>
      <c r="D392" s="419"/>
      <c r="E392" s="419"/>
      <c r="F392" s="419"/>
      <c r="G392" s="377"/>
      <c r="I392" s="275"/>
    </row>
    <row r="393" spans="1:9">
      <c r="A393" s="400" t="s">
        <v>1032</v>
      </c>
      <c r="B393" s="371"/>
      <c r="C393" s="370"/>
      <c r="D393" s="370"/>
      <c r="E393" s="370"/>
      <c r="F393" s="371"/>
      <c r="G393" s="371" t="s">
        <v>833</v>
      </c>
      <c r="I393" s="275"/>
    </row>
    <row r="394" spans="1:9">
      <c r="A394" s="381" t="s">
        <v>1033</v>
      </c>
      <c r="B394" s="394"/>
      <c r="C394" s="382"/>
      <c r="D394" s="304" t="s">
        <v>1034</v>
      </c>
      <c r="E394" s="306"/>
      <c r="F394" s="298"/>
      <c r="G394" s="298">
        <f>G375+G376-G371-G372</f>
        <v>18.3</v>
      </c>
      <c r="H394" s="275"/>
      <c r="I394" s="275"/>
    </row>
    <row r="395" spans="1:9">
      <c r="A395" s="381"/>
      <c r="B395" s="394"/>
      <c r="C395" s="382"/>
      <c r="D395" s="304"/>
      <c r="E395" s="306"/>
      <c r="F395" s="298"/>
      <c r="G395" s="298"/>
      <c r="I395" s="275"/>
    </row>
    <row r="396" spans="1:9">
      <c r="A396" s="422" t="s">
        <v>1035</v>
      </c>
      <c r="B396" s="423"/>
      <c r="C396" s="424"/>
      <c r="D396" s="424"/>
      <c r="E396" s="424"/>
      <c r="F396" s="423"/>
      <c r="G396" s="423" t="s">
        <v>833</v>
      </c>
      <c r="I396" s="275"/>
    </row>
    <row r="397" spans="1:9">
      <c r="A397" s="381" t="s">
        <v>1036</v>
      </c>
      <c r="B397" s="394"/>
      <c r="C397" s="382"/>
      <c r="D397" s="304" t="s">
        <v>1037</v>
      </c>
      <c r="E397" s="306"/>
      <c r="F397" s="298"/>
      <c r="G397" s="298">
        <f>G384+G385</f>
        <v>25.5</v>
      </c>
      <c r="I397" s="275"/>
    </row>
    <row r="398" spans="1:9">
      <c r="A398" s="381"/>
      <c r="B398" s="394"/>
      <c r="C398" s="382"/>
      <c r="D398" s="304"/>
      <c r="E398" s="306"/>
      <c r="F398" s="298"/>
      <c r="G398" s="298"/>
      <c r="I398" s="275"/>
    </row>
    <row r="399" ht="21" spans="1:9">
      <c r="A399" s="400" t="s">
        <v>1038</v>
      </c>
      <c r="B399" s="371"/>
      <c r="C399" s="370"/>
      <c r="D399" s="370"/>
      <c r="E399" s="376" t="s">
        <v>1039</v>
      </c>
      <c r="F399" s="376" t="s">
        <v>1040</v>
      </c>
      <c r="G399" s="376" t="s">
        <v>1041</v>
      </c>
      <c r="I399" s="275"/>
    </row>
    <row r="400" spans="1:9">
      <c r="A400" s="353" t="s">
        <v>913</v>
      </c>
      <c r="B400" s="394"/>
      <c r="C400" s="382"/>
      <c r="D400" s="304"/>
      <c r="E400" s="300">
        <f>6.5+6.955+0.65+1.2+4.05+1.2+0.65+0.15+3.75+6.8</f>
        <v>31.905</v>
      </c>
      <c r="F400" s="300">
        <f>1.6+1.475+0.8+0.8+0.9</f>
        <v>5.575</v>
      </c>
      <c r="G400" s="299">
        <f>ROUND(E400-F400,2)</f>
        <v>26.33</v>
      </c>
      <c r="I400" s="275"/>
    </row>
    <row r="401" spans="1:9">
      <c r="A401" s="353" t="s">
        <v>914</v>
      </c>
      <c r="B401" s="394"/>
      <c r="C401" s="382"/>
      <c r="D401" s="304"/>
      <c r="E401" s="300">
        <v>39.035</v>
      </c>
      <c r="F401" s="300">
        <v>8.68</v>
      </c>
      <c r="G401" s="299">
        <f t="shared" ref="G401:G417" si="20">ROUND(E401-F401,2)</f>
        <v>30.36</v>
      </c>
      <c r="I401" s="275"/>
    </row>
    <row r="402" spans="1:9">
      <c r="A402" s="353" t="s">
        <v>915</v>
      </c>
      <c r="B402" s="394"/>
      <c r="C402" s="382"/>
      <c r="D402" s="304"/>
      <c r="E402" s="300">
        <f>4.1*2+3.5*2</f>
        <v>15.2</v>
      </c>
      <c r="F402" s="300">
        <f>0.8*2</f>
        <v>1.6</v>
      </c>
      <c r="G402" s="299">
        <f t="shared" si="20"/>
        <v>13.6</v>
      </c>
      <c r="I402" s="275"/>
    </row>
    <row r="403" spans="1:9">
      <c r="A403" s="353" t="s">
        <v>916</v>
      </c>
      <c r="B403" s="394"/>
      <c r="C403" s="382"/>
      <c r="D403" s="304"/>
      <c r="E403" s="300">
        <f>1.3*2+2*2</f>
        <v>6.6</v>
      </c>
      <c r="F403" s="300">
        <v>0.8</v>
      </c>
      <c r="G403" s="299">
        <f t="shared" si="20"/>
        <v>5.8</v>
      </c>
      <c r="I403" s="275"/>
    </row>
    <row r="404" spans="1:9">
      <c r="A404" s="353" t="s">
        <v>917</v>
      </c>
      <c r="B404" s="394"/>
      <c r="C404" s="382"/>
      <c r="D404" s="304"/>
      <c r="E404" s="300">
        <f>4.1+4.1+2.65+2.15+1.95+1.45</f>
        <v>16.4</v>
      </c>
      <c r="F404" s="300">
        <v>1.6</v>
      </c>
      <c r="G404" s="299">
        <f t="shared" si="20"/>
        <v>14.8</v>
      </c>
      <c r="I404" s="275"/>
    </row>
    <row r="405" spans="1:7">
      <c r="A405" s="353" t="s">
        <v>918</v>
      </c>
      <c r="B405" s="394"/>
      <c r="C405" s="382"/>
      <c r="D405" s="304"/>
      <c r="E405" s="300">
        <f>4.2*2+8.25*2</f>
        <v>24.9</v>
      </c>
      <c r="F405" s="300">
        <f>1.6*2</f>
        <v>3.2</v>
      </c>
      <c r="G405" s="299">
        <f t="shared" si="20"/>
        <v>21.7</v>
      </c>
    </row>
    <row r="406" spans="1:7">
      <c r="A406" s="353" t="s">
        <v>919</v>
      </c>
      <c r="B406" s="394"/>
      <c r="C406" s="382"/>
      <c r="D406" s="304"/>
      <c r="E406" s="300">
        <f>3.3*2+2.73*2</f>
        <v>12.06</v>
      </c>
      <c r="F406" s="300">
        <v>0.8</v>
      </c>
      <c r="G406" s="299">
        <f t="shared" si="20"/>
        <v>11.26</v>
      </c>
    </row>
    <row r="407" spans="1:7">
      <c r="A407" s="353" t="s">
        <v>920</v>
      </c>
      <c r="B407" s="394"/>
      <c r="C407" s="382"/>
      <c r="D407" s="304"/>
      <c r="E407" s="300">
        <f>1.8+6.97</f>
        <v>8.77</v>
      </c>
      <c r="F407" s="300">
        <v>0.8</v>
      </c>
      <c r="G407" s="299">
        <f t="shared" si="20"/>
        <v>7.97</v>
      </c>
    </row>
    <row r="408" spans="1:7">
      <c r="A408" s="353" t="s">
        <v>921</v>
      </c>
      <c r="B408" s="394"/>
      <c r="C408" s="382"/>
      <c r="D408" s="304"/>
      <c r="E408" s="300">
        <f>1.5*4</f>
        <v>6</v>
      </c>
      <c r="F408" s="300">
        <v>0.8</v>
      </c>
      <c r="G408" s="299">
        <f t="shared" si="20"/>
        <v>5.2</v>
      </c>
    </row>
    <row r="409" spans="1:7">
      <c r="A409" s="353" t="s">
        <v>922</v>
      </c>
      <c r="B409" s="394"/>
      <c r="C409" s="382"/>
      <c r="D409" s="304"/>
      <c r="E409" s="300">
        <f>1.65*2+1.5*2</f>
        <v>6.3</v>
      </c>
      <c r="F409" s="300">
        <v>0.8</v>
      </c>
      <c r="G409" s="299">
        <f t="shared" si="20"/>
        <v>5.5</v>
      </c>
    </row>
    <row r="410" spans="1:7">
      <c r="A410" s="353" t="s">
        <v>923</v>
      </c>
      <c r="B410" s="394"/>
      <c r="C410" s="382"/>
      <c r="D410" s="304"/>
      <c r="E410" s="300">
        <f>3.33*2+2.35*2</f>
        <v>11.36</v>
      </c>
      <c r="F410" s="300">
        <v>0.8</v>
      </c>
      <c r="G410" s="299">
        <f t="shared" si="20"/>
        <v>10.56</v>
      </c>
    </row>
    <row r="411" spans="1:7">
      <c r="A411" s="353" t="s">
        <v>924</v>
      </c>
      <c r="B411" s="394"/>
      <c r="C411" s="382"/>
      <c r="D411" s="304"/>
      <c r="E411" s="300">
        <f>3.33*2+2.35*2</f>
        <v>11.36</v>
      </c>
      <c r="F411" s="300">
        <v>0.8</v>
      </c>
      <c r="G411" s="299">
        <f t="shared" si="20"/>
        <v>10.56</v>
      </c>
    </row>
    <row r="412" spans="1:7">
      <c r="A412" s="353" t="s">
        <v>925</v>
      </c>
      <c r="B412" s="394"/>
      <c r="C412" s="382"/>
      <c r="D412" s="304"/>
      <c r="E412" s="300">
        <f>2.05+1.45+2.15+2.65+4.2+4.1</f>
        <v>16.6</v>
      </c>
      <c r="F412" s="300">
        <v>1.6</v>
      </c>
      <c r="G412" s="299">
        <f t="shared" si="20"/>
        <v>15</v>
      </c>
    </row>
    <row r="413" spans="1:7">
      <c r="A413" s="353" t="s">
        <v>926</v>
      </c>
      <c r="B413" s="394"/>
      <c r="C413" s="382"/>
      <c r="D413" s="304"/>
      <c r="E413" s="300">
        <f>1.3*2+2*2</f>
        <v>6.6</v>
      </c>
      <c r="F413" s="300">
        <v>0.8</v>
      </c>
      <c r="G413" s="299">
        <f t="shared" si="20"/>
        <v>5.8</v>
      </c>
    </row>
    <row r="414" spans="1:7">
      <c r="A414" s="353" t="s">
        <v>927</v>
      </c>
      <c r="B414" s="394"/>
      <c r="C414" s="382"/>
      <c r="D414" s="304"/>
      <c r="E414" s="300">
        <f>3.45*2+4.2*2</f>
        <v>15.3</v>
      </c>
      <c r="F414" s="300">
        <v>1.6</v>
      </c>
      <c r="G414" s="299">
        <f t="shared" si="20"/>
        <v>13.7</v>
      </c>
    </row>
    <row r="415" spans="1:7">
      <c r="A415" s="353" t="s">
        <v>928</v>
      </c>
      <c r="B415" s="394"/>
      <c r="C415" s="382"/>
      <c r="D415" s="304"/>
      <c r="E415" s="300">
        <f>1+4.2+2+2.85+1+1.35</f>
        <v>12.4</v>
      </c>
      <c r="F415" s="300">
        <v>0.8</v>
      </c>
      <c r="G415" s="299">
        <f t="shared" si="20"/>
        <v>11.6</v>
      </c>
    </row>
    <row r="416" spans="1:7">
      <c r="A416" s="353" t="s">
        <v>929</v>
      </c>
      <c r="B416" s="394"/>
      <c r="C416" s="382"/>
      <c r="D416" s="304"/>
      <c r="E416" s="300">
        <f>1.55*2+2.85*2</f>
        <v>8.8</v>
      </c>
      <c r="F416" s="300">
        <v>0.8</v>
      </c>
      <c r="G416" s="299">
        <f t="shared" si="20"/>
        <v>8</v>
      </c>
    </row>
    <row r="417" spans="1:7">
      <c r="A417" s="353" t="s">
        <v>930</v>
      </c>
      <c r="B417" s="298"/>
      <c r="C417" s="299"/>
      <c r="D417" s="304"/>
      <c r="E417" s="300">
        <f>1.5+2.85+2.5+4.2+1+1.35</f>
        <v>13.4</v>
      </c>
      <c r="F417" s="300">
        <v>0.8</v>
      </c>
      <c r="G417" s="299">
        <f t="shared" si="20"/>
        <v>12.6</v>
      </c>
    </row>
    <row r="418" ht="16.5" customHeight="1" spans="1:7">
      <c r="A418" s="312"/>
      <c r="B418" s="312"/>
      <c r="C418" s="313"/>
      <c r="D418" s="313"/>
      <c r="E418" s="373" t="s">
        <v>734</v>
      </c>
      <c r="F418" s="363"/>
      <c r="G418" s="364">
        <f>SUM(G400:G417)</f>
        <v>230.34</v>
      </c>
    </row>
    <row r="419" ht="10.5" customHeight="1" spans="1:7">
      <c r="A419" s="425"/>
      <c r="B419" s="425"/>
      <c r="C419" s="425"/>
      <c r="D419" s="425"/>
      <c r="E419" s="425"/>
      <c r="F419" s="425"/>
      <c r="G419" s="425"/>
    </row>
    <row r="420" spans="1:7">
      <c r="A420" s="290" t="s">
        <v>1042</v>
      </c>
      <c r="B420" s="291"/>
      <c r="C420" s="291"/>
      <c r="D420" s="291"/>
      <c r="E420" s="291"/>
      <c r="F420" s="291"/>
      <c r="G420" s="292"/>
    </row>
    <row r="421" spans="1:7">
      <c r="A421" s="426" t="s">
        <v>807</v>
      </c>
      <c r="B421" s="426"/>
      <c r="C421" s="304"/>
      <c r="D421" s="304"/>
      <c r="E421" s="303" t="s">
        <v>1043</v>
      </c>
      <c r="F421" s="324"/>
      <c r="G421" s="305" t="s">
        <v>734</v>
      </c>
    </row>
    <row r="422" spans="1:7">
      <c r="A422" s="353" t="s">
        <v>913</v>
      </c>
      <c r="B422" s="229"/>
      <c r="C422" s="299"/>
      <c r="D422" s="299"/>
      <c r="E422" s="299">
        <v>49.5</v>
      </c>
      <c r="F422" s="298"/>
      <c r="G422" s="427">
        <f>E422</f>
        <v>49.5</v>
      </c>
    </row>
    <row r="423" spans="1:7">
      <c r="A423" s="353" t="s">
        <v>914</v>
      </c>
      <c r="B423" s="229"/>
      <c r="C423" s="299"/>
      <c r="D423" s="299"/>
      <c r="E423" s="299">
        <v>30.01</v>
      </c>
      <c r="F423" s="298"/>
      <c r="G423" s="427">
        <f t="shared" ref="G423:G438" si="21">E423</f>
        <v>30.01</v>
      </c>
    </row>
    <row r="424" spans="1:7">
      <c r="A424" s="353" t="s">
        <v>915</v>
      </c>
      <c r="B424" s="229"/>
      <c r="C424" s="299"/>
      <c r="D424" s="299"/>
      <c r="E424" s="299">
        <v>14.35</v>
      </c>
      <c r="F424" s="298"/>
      <c r="G424" s="427">
        <f t="shared" si="21"/>
        <v>14.35</v>
      </c>
    </row>
    <row r="425" spans="1:7">
      <c r="A425" s="353" t="s">
        <v>916</v>
      </c>
      <c r="B425" s="229"/>
      <c r="C425" s="299"/>
      <c r="D425" s="299"/>
      <c r="E425" s="299">
        <v>2.6</v>
      </c>
      <c r="F425" s="298"/>
      <c r="G425" s="427">
        <f t="shared" si="21"/>
        <v>2.6</v>
      </c>
    </row>
    <row r="426" spans="1:7">
      <c r="A426" s="353" t="s">
        <v>917</v>
      </c>
      <c r="B426" s="229"/>
      <c r="C426" s="299"/>
      <c r="D426" s="299"/>
      <c r="E426" s="299">
        <v>13.7</v>
      </c>
      <c r="F426" s="298"/>
      <c r="G426" s="427">
        <f t="shared" si="21"/>
        <v>13.7</v>
      </c>
    </row>
    <row r="427" spans="1:7">
      <c r="A427" s="353" t="s">
        <v>918</v>
      </c>
      <c r="B427" s="229"/>
      <c r="C427" s="299"/>
      <c r="D427" s="299"/>
      <c r="E427" s="299">
        <v>34.65</v>
      </c>
      <c r="F427" s="298"/>
      <c r="G427" s="427">
        <f t="shared" si="21"/>
        <v>34.65</v>
      </c>
    </row>
    <row r="428" spans="1:7">
      <c r="A428" s="353" t="s">
        <v>919</v>
      </c>
      <c r="B428" s="229"/>
      <c r="C428" s="299"/>
      <c r="D428" s="299"/>
      <c r="E428" s="299">
        <v>9</v>
      </c>
      <c r="F428" s="298"/>
      <c r="G428" s="427">
        <f t="shared" si="21"/>
        <v>9</v>
      </c>
    </row>
    <row r="429" spans="1:7">
      <c r="A429" s="353" t="s">
        <v>921</v>
      </c>
      <c r="B429" s="229"/>
      <c r="C429" s="299"/>
      <c r="D429" s="299"/>
      <c r="E429" s="299">
        <v>2.25</v>
      </c>
      <c r="F429" s="298"/>
      <c r="G429" s="427">
        <f t="shared" si="21"/>
        <v>2.25</v>
      </c>
    </row>
    <row r="430" spans="1:7">
      <c r="A430" s="353" t="s">
        <v>922</v>
      </c>
      <c r="B430" s="229"/>
      <c r="C430" s="299"/>
      <c r="D430" s="299"/>
      <c r="E430" s="299">
        <v>2.47</v>
      </c>
      <c r="F430" s="298"/>
      <c r="G430" s="427">
        <f t="shared" si="21"/>
        <v>2.47</v>
      </c>
    </row>
    <row r="431" spans="1:7">
      <c r="A431" s="353" t="s">
        <v>923</v>
      </c>
      <c r="B431" s="229"/>
      <c r="C431" s="299"/>
      <c r="D431" s="299"/>
      <c r="E431" s="299">
        <v>7.81</v>
      </c>
      <c r="F431" s="298"/>
      <c r="G431" s="427">
        <f t="shared" si="21"/>
        <v>7.81</v>
      </c>
    </row>
    <row r="432" spans="1:7">
      <c r="A432" s="353" t="s">
        <v>924</v>
      </c>
      <c r="B432" s="229"/>
      <c r="C432" s="299"/>
      <c r="D432" s="299"/>
      <c r="E432" s="299">
        <v>7.81</v>
      </c>
      <c r="F432" s="298"/>
      <c r="G432" s="427">
        <f t="shared" si="21"/>
        <v>7.81</v>
      </c>
    </row>
    <row r="433" spans="1:7">
      <c r="A433" s="353" t="s">
        <v>925</v>
      </c>
      <c r="B433" s="229"/>
      <c r="C433" s="299"/>
      <c r="D433" s="299"/>
      <c r="E433" s="299">
        <v>14.1</v>
      </c>
      <c r="F433" s="298"/>
      <c r="G433" s="427">
        <f t="shared" si="21"/>
        <v>14.1</v>
      </c>
    </row>
    <row r="434" spans="1:7">
      <c r="A434" s="353" t="s">
        <v>926</v>
      </c>
      <c r="B434" s="229"/>
      <c r="C434" s="299"/>
      <c r="D434" s="299"/>
      <c r="E434" s="299">
        <v>2.6</v>
      </c>
      <c r="F434" s="298"/>
      <c r="G434" s="427">
        <f t="shared" si="21"/>
        <v>2.6</v>
      </c>
    </row>
    <row r="435" spans="1:7">
      <c r="A435" s="353" t="s">
        <v>927</v>
      </c>
      <c r="B435" s="229"/>
      <c r="C435" s="299"/>
      <c r="D435" s="299"/>
      <c r="E435" s="299">
        <v>14.49</v>
      </c>
      <c r="F435" s="298"/>
      <c r="G435" s="427">
        <f t="shared" si="21"/>
        <v>14.49</v>
      </c>
    </row>
    <row r="436" spans="1:7">
      <c r="A436" s="353" t="s">
        <v>928</v>
      </c>
      <c r="B436" s="229"/>
      <c r="C436" s="299"/>
      <c r="D436" s="299"/>
      <c r="E436" s="299">
        <v>7.05</v>
      </c>
      <c r="F436" s="298"/>
      <c r="G436" s="427">
        <f t="shared" si="21"/>
        <v>7.05</v>
      </c>
    </row>
    <row r="437" spans="1:7">
      <c r="A437" s="353" t="s">
        <v>929</v>
      </c>
      <c r="B437" s="229"/>
      <c r="C437" s="299"/>
      <c r="D437" s="299"/>
      <c r="E437" s="299">
        <v>4.42</v>
      </c>
      <c r="F437" s="298"/>
      <c r="G437" s="427">
        <f t="shared" si="21"/>
        <v>4.42</v>
      </c>
    </row>
    <row r="438" spans="1:7">
      <c r="A438" s="353" t="s">
        <v>930</v>
      </c>
      <c r="B438" s="229"/>
      <c r="C438" s="299"/>
      <c r="D438" s="299"/>
      <c r="E438" s="299">
        <v>8.47</v>
      </c>
      <c r="F438" s="298"/>
      <c r="G438" s="427">
        <f t="shared" si="21"/>
        <v>8.47</v>
      </c>
    </row>
    <row r="439" spans="1:7">
      <c r="A439" s="428"/>
      <c r="B439" s="366"/>
      <c r="C439" s="361"/>
      <c r="D439" s="361"/>
      <c r="E439" s="384"/>
      <c r="F439" s="366"/>
      <c r="G439" s="429"/>
    </row>
    <row r="440" spans="1:7">
      <c r="A440" s="428"/>
      <c r="B440" s="366"/>
      <c r="C440" s="361"/>
      <c r="D440" s="361"/>
      <c r="E440" s="373" t="s">
        <v>734</v>
      </c>
      <c r="F440" s="363"/>
      <c r="G440" s="364">
        <f>SUM(G422:G438)</f>
        <v>225.28</v>
      </c>
    </row>
    <row r="441" ht="10.5" customHeight="1" spans="1:7">
      <c r="A441" s="341"/>
      <c r="B441" s="341"/>
      <c r="C441" s="342"/>
      <c r="D441" s="342"/>
      <c r="E441" s="342"/>
      <c r="F441" s="341"/>
      <c r="G441" s="341"/>
    </row>
    <row r="442" spans="1:7">
      <c r="A442" s="290" t="s">
        <v>1044</v>
      </c>
      <c r="B442" s="291"/>
      <c r="C442" s="291"/>
      <c r="D442" s="291"/>
      <c r="E442" s="291"/>
      <c r="F442" s="291"/>
      <c r="G442" s="292"/>
    </row>
    <row r="443" spans="1:7">
      <c r="A443" s="426" t="s">
        <v>807</v>
      </c>
      <c r="B443" s="303"/>
      <c r="C443" s="303"/>
      <c r="D443" s="303" t="s">
        <v>1045</v>
      </c>
      <c r="E443" s="303" t="s">
        <v>853</v>
      </c>
      <c r="F443" s="303"/>
      <c r="G443" s="303" t="s">
        <v>1046</v>
      </c>
    </row>
    <row r="444" spans="1:7">
      <c r="A444" s="381" t="s">
        <v>1047</v>
      </c>
      <c r="B444" s="298"/>
      <c r="C444" s="420"/>
      <c r="D444" s="420"/>
      <c r="E444" s="299">
        <f>G9</f>
        <v>287.32</v>
      </c>
      <c r="F444" s="430"/>
      <c r="G444" s="300">
        <f>E444</f>
        <v>287.32</v>
      </c>
    </row>
    <row r="445" spans="1:7">
      <c r="A445" s="381" t="s">
        <v>1048</v>
      </c>
      <c r="B445" s="298"/>
      <c r="C445" s="382"/>
      <c r="D445" s="299"/>
      <c r="E445" s="299">
        <f>E444</f>
        <v>287.32</v>
      </c>
      <c r="F445" s="298"/>
      <c r="G445" s="300">
        <f>E445</f>
        <v>287.32</v>
      </c>
    </row>
    <row r="446" spans="1:7">
      <c r="A446" s="297" t="s">
        <v>1049</v>
      </c>
      <c r="B446" s="229"/>
      <c r="C446" s="299"/>
      <c r="D446" s="299"/>
      <c r="E446" s="299">
        <f>E445</f>
        <v>287.32</v>
      </c>
      <c r="F446" s="298"/>
      <c r="G446" s="300">
        <f>E446</f>
        <v>287.32</v>
      </c>
    </row>
    <row r="447" spans="1:7">
      <c r="A447" s="297" t="s">
        <v>1050</v>
      </c>
      <c r="B447" s="229"/>
      <c r="C447" s="299"/>
      <c r="D447" s="299">
        <f>5.95+10.25+5.1+3.15+3.75+3.15+7.35</f>
        <v>38.7</v>
      </c>
      <c r="E447" s="299"/>
      <c r="F447" s="298"/>
      <c r="G447" s="298"/>
    </row>
    <row r="448" spans="1:7">
      <c r="A448" s="297" t="s">
        <v>1051</v>
      </c>
      <c r="B448" s="229"/>
      <c r="C448" s="299"/>
      <c r="D448" s="299">
        <f>21.32+13.17</f>
        <v>34.49</v>
      </c>
      <c r="E448" s="299"/>
      <c r="F448" s="298"/>
      <c r="G448" s="298"/>
    </row>
    <row r="449" ht="11.25" customHeight="1"/>
    <row r="450" spans="1:7">
      <c r="A450" s="290" t="s">
        <v>1052</v>
      </c>
      <c r="B450" s="291"/>
      <c r="C450" s="291"/>
      <c r="D450" s="291"/>
      <c r="E450" s="291"/>
      <c r="F450" s="291"/>
      <c r="G450" s="292"/>
    </row>
    <row r="451" spans="1:7">
      <c r="A451" s="302" t="s">
        <v>807</v>
      </c>
      <c r="B451" s="303"/>
      <c r="C451" s="304"/>
      <c r="D451" s="304"/>
      <c r="E451" s="304"/>
      <c r="F451" s="303"/>
      <c r="G451" s="303" t="s">
        <v>996</v>
      </c>
    </row>
    <row r="452" spans="1:7">
      <c r="A452" s="302" t="s">
        <v>1053</v>
      </c>
      <c r="B452" s="303"/>
      <c r="C452" s="304"/>
      <c r="D452" s="304"/>
      <c r="E452" s="304"/>
      <c r="F452" s="303"/>
      <c r="G452" s="303"/>
    </row>
    <row r="453" spans="1:9">
      <c r="A453" s="297" t="s">
        <v>1054</v>
      </c>
      <c r="B453" s="298"/>
      <c r="C453" s="358"/>
      <c r="D453" s="358"/>
      <c r="E453" s="358"/>
      <c r="F453" s="358"/>
      <c r="G453" s="298">
        <f>21.77-15.6</f>
        <v>6.17</v>
      </c>
      <c r="I453" s="275"/>
    </row>
    <row r="454" spans="1:9">
      <c r="A454" s="297" t="s">
        <v>1055</v>
      </c>
      <c r="B454" s="298"/>
      <c r="C454" s="358"/>
      <c r="D454" s="358"/>
      <c r="E454" s="358"/>
      <c r="F454" s="358"/>
      <c r="G454" s="298">
        <f>6.16-5.15</f>
        <v>1.01</v>
      </c>
      <c r="I454" s="275"/>
    </row>
    <row r="455" spans="1:9">
      <c r="A455" s="307" t="s">
        <v>356</v>
      </c>
      <c r="B455" s="298"/>
      <c r="C455" s="358"/>
      <c r="D455" s="358"/>
      <c r="E455" s="358"/>
      <c r="F455" s="358"/>
      <c r="G455" s="298"/>
      <c r="I455" s="275"/>
    </row>
    <row r="456" spans="1:9">
      <c r="A456" s="297" t="s">
        <v>1054</v>
      </c>
      <c r="B456" s="298"/>
      <c r="C456" s="358"/>
      <c r="D456" s="358"/>
      <c r="E456" s="358"/>
      <c r="F456" s="358"/>
      <c r="G456" s="298">
        <v>15.6</v>
      </c>
      <c r="I456" s="275"/>
    </row>
    <row r="457" customHeight="1" spans="1:9">
      <c r="A457" s="297" t="s">
        <v>1055</v>
      </c>
      <c r="B457" s="298"/>
      <c r="C457" s="358"/>
      <c r="D457" s="358"/>
      <c r="E457" s="358"/>
      <c r="F457" s="358"/>
      <c r="G457" s="298">
        <v>5.15</v>
      </c>
      <c r="I457" s="275"/>
    </row>
    <row r="458" customHeight="1" spans="1:9">
      <c r="A458" s="307" t="s">
        <v>359</v>
      </c>
      <c r="B458" s="298"/>
      <c r="C458" s="358"/>
      <c r="D458" s="358"/>
      <c r="E458" s="358"/>
      <c r="F458" s="358"/>
      <c r="G458" s="298"/>
      <c r="I458" s="275"/>
    </row>
    <row r="459" customHeight="1" spans="1:9">
      <c r="A459" s="297" t="s">
        <v>1056</v>
      </c>
      <c r="B459" s="298"/>
      <c r="C459" s="358"/>
      <c r="D459" s="358"/>
      <c r="E459" s="358"/>
      <c r="F459" s="358"/>
      <c r="G459" s="298">
        <v>15.14</v>
      </c>
      <c r="I459" s="275"/>
    </row>
    <row r="460" customHeight="1" spans="1:9">
      <c r="A460" s="297"/>
      <c r="B460" s="298"/>
      <c r="C460" s="358"/>
      <c r="D460" s="358"/>
      <c r="E460" s="358"/>
      <c r="F460" s="358"/>
      <c r="G460" s="298"/>
      <c r="I460" s="275"/>
    </row>
    <row r="461" spans="1:9">
      <c r="A461" s="307" t="s">
        <v>402</v>
      </c>
      <c r="B461" s="229"/>
      <c r="C461" s="299"/>
      <c r="D461" s="299"/>
      <c r="E461" s="299"/>
      <c r="F461" s="298"/>
      <c r="G461" s="358" t="s">
        <v>1057</v>
      </c>
      <c r="I461" s="275"/>
    </row>
    <row r="462" spans="1:9">
      <c r="A462" s="297" t="s">
        <v>1058</v>
      </c>
      <c r="B462" s="229"/>
      <c r="C462" s="358"/>
      <c r="D462" s="358"/>
      <c r="E462" s="358"/>
      <c r="F462" s="358"/>
      <c r="G462" s="298">
        <v>1</v>
      </c>
      <c r="I462" s="275"/>
    </row>
    <row r="463" spans="1:9">
      <c r="A463" s="297" t="s">
        <v>1059</v>
      </c>
      <c r="B463" s="298"/>
      <c r="C463" s="299"/>
      <c r="D463" s="299"/>
      <c r="E463" s="299"/>
      <c r="F463" s="298"/>
      <c r="G463" s="298">
        <v>11.88</v>
      </c>
      <c r="I463" s="275"/>
    </row>
    <row r="464" spans="1:9">
      <c r="A464" s="297" t="s">
        <v>1060</v>
      </c>
      <c r="B464" s="298"/>
      <c r="C464" s="299"/>
      <c r="D464" s="299"/>
      <c r="E464" s="299"/>
      <c r="F464" s="298"/>
      <c r="G464" s="298">
        <v>1</v>
      </c>
      <c r="I464" s="275"/>
    </row>
    <row r="465" spans="1:9">
      <c r="A465" s="341"/>
      <c r="B465" s="341"/>
      <c r="C465" s="342"/>
      <c r="D465" s="342"/>
      <c r="E465" s="342"/>
      <c r="F465" s="341"/>
      <c r="G465" s="341"/>
      <c r="I465" s="275"/>
    </row>
    <row r="466" spans="1:7">
      <c r="A466" s="290" t="s">
        <v>1061</v>
      </c>
      <c r="B466" s="291"/>
      <c r="C466" s="291"/>
      <c r="D466" s="291"/>
      <c r="E466" s="291"/>
      <c r="F466" s="291"/>
      <c r="G466" s="292"/>
    </row>
    <row r="467" spans="1:7">
      <c r="A467" s="293" t="s">
        <v>807</v>
      </c>
      <c r="B467" s="294"/>
      <c r="C467" s="295"/>
      <c r="D467" s="295"/>
      <c r="E467" s="295"/>
      <c r="F467" s="294"/>
      <c r="G467" s="296" t="s">
        <v>996</v>
      </c>
    </row>
    <row r="468" ht="22.5" spans="1:9">
      <c r="A468" s="431" t="s">
        <v>383</v>
      </c>
      <c r="B468" s="394"/>
      <c r="C468" s="304"/>
      <c r="D468" s="304"/>
      <c r="E468" s="304"/>
      <c r="F468" s="303"/>
      <c r="G468" s="432">
        <f>3.38+4.8</f>
        <v>8.18</v>
      </c>
      <c r="I468" s="275"/>
    </row>
    <row r="469" ht="22.5" spans="1:9">
      <c r="A469" s="431" t="s">
        <v>386</v>
      </c>
      <c r="B469" s="394"/>
      <c r="C469" s="304"/>
      <c r="D469" s="304"/>
      <c r="E469" s="304"/>
      <c r="F469" s="303"/>
      <c r="G469" s="432">
        <v>11.68</v>
      </c>
      <c r="I469" s="275"/>
    </row>
    <row r="470" ht="22.5" spans="1:9">
      <c r="A470" s="431" t="s">
        <v>389</v>
      </c>
      <c r="B470" s="394"/>
      <c r="C470" s="304"/>
      <c r="D470" s="304"/>
      <c r="E470" s="304"/>
      <c r="F470" s="303"/>
      <c r="G470" s="432">
        <v>1.81</v>
      </c>
      <c r="I470" s="275"/>
    </row>
    <row r="471" ht="22.5" spans="1:9">
      <c r="A471" s="431" t="s">
        <v>392</v>
      </c>
      <c r="B471" s="394"/>
      <c r="C471" s="304"/>
      <c r="D471" s="304"/>
      <c r="E471" s="304"/>
      <c r="F471" s="303"/>
      <c r="G471" s="432">
        <v>64.46</v>
      </c>
      <c r="I471" s="275"/>
    </row>
    <row r="472" spans="1:9">
      <c r="A472" s="431"/>
      <c r="B472" s="394"/>
      <c r="C472" s="304"/>
      <c r="D472" s="304"/>
      <c r="E472" s="304"/>
      <c r="F472" s="303"/>
      <c r="G472" s="432"/>
      <c r="I472" s="275"/>
    </row>
    <row r="473" spans="1:9">
      <c r="A473" s="433" t="s">
        <v>421</v>
      </c>
      <c r="B473" s="394"/>
      <c r="C473" s="304"/>
      <c r="D473" s="304"/>
      <c r="E473" s="304"/>
      <c r="F473" s="303"/>
      <c r="G473" s="299"/>
      <c r="I473" s="275"/>
    </row>
    <row r="474" ht="22.5" spans="1:9">
      <c r="A474" s="431" t="s">
        <v>386</v>
      </c>
      <c r="B474" s="394"/>
      <c r="C474" s="304"/>
      <c r="D474" s="304"/>
      <c r="E474" s="304"/>
      <c r="F474" s="303"/>
      <c r="G474" s="432">
        <v>16.89</v>
      </c>
      <c r="I474" s="275"/>
    </row>
    <row r="475" ht="22.5" spans="1:9">
      <c r="A475" s="431" t="s">
        <v>389</v>
      </c>
      <c r="B475" s="394"/>
      <c r="C475" s="304"/>
      <c r="D475" s="304"/>
      <c r="E475" s="304"/>
      <c r="F475" s="303"/>
      <c r="G475" s="432">
        <v>3.08</v>
      </c>
      <c r="I475" s="275"/>
    </row>
    <row r="476" spans="1:9">
      <c r="A476" s="434"/>
      <c r="B476" s="435"/>
      <c r="C476" s="355"/>
      <c r="D476" s="355"/>
      <c r="E476" s="355"/>
      <c r="F476" s="436"/>
      <c r="G476" s="357"/>
      <c r="I476" s="275"/>
    </row>
    <row r="477" spans="1:7">
      <c r="A477" s="290" t="s">
        <v>1062</v>
      </c>
      <c r="B477" s="291"/>
      <c r="C477" s="291"/>
      <c r="D477" s="291"/>
      <c r="E477" s="291"/>
      <c r="F477" s="291"/>
      <c r="G477" s="292"/>
    </row>
    <row r="478" spans="1:7">
      <c r="A478" s="302" t="s">
        <v>807</v>
      </c>
      <c r="B478" s="303"/>
      <c r="C478" s="304"/>
      <c r="D478" s="304"/>
      <c r="E478" s="304"/>
      <c r="F478" s="303"/>
      <c r="G478" s="305" t="s">
        <v>1057</v>
      </c>
    </row>
    <row r="479" spans="1:7">
      <c r="A479" s="381" t="s">
        <v>1063</v>
      </c>
      <c r="B479" s="394"/>
      <c r="C479" s="382"/>
      <c r="D479" s="299"/>
      <c r="E479" s="299"/>
      <c r="F479" s="298"/>
      <c r="G479" s="298"/>
    </row>
    <row r="480" spans="1:7">
      <c r="A480" s="381" t="s">
        <v>1002</v>
      </c>
      <c r="B480" s="394"/>
      <c r="C480" s="382"/>
      <c r="D480" s="299"/>
      <c r="E480" s="299"/>
      <c r="F480" s="298"/>
      <c r="G480" s="298">
        <v>1</v>
      </c>
    </row>
    <row r="481" spans="1:7">
      <c r="A481" s="381" t="s">
        <v>1003</v>
      </c>
      <c r="B481" s="394"/>
      <c r="C481" s="382"/>
      <c r="D481" s="299"/>
      <c r="E481" s="299"/>
      <c r="F481" s="298"/>
      <c r="G481" s="298">
        <v>1</v>
      </c>
    </row>
    <row r="482" spans="1:7">
      <c r="A482" s="381" t="s">
        <v>999</v>
      </c>
      <c r="B482" s="394"/>
      <c r="C482" s="382"/>
      <c r="D482" s="299"/>
      <c r="E482" s="299"/>
      <c r="F482" s="298"/>
      <c r="G482" s="298">
        <v>2</v>
      </c>
    </row>
    <row r="483" spans="1:7">
      <c r="A483" s="381" t="s">
        <v>1000</v>
      </c>
      <c r="B483" s="394"/>
      <c r="C483" s="382"/>
      <c r="D483" s="299"/>
      <c r="E483" s="299"/>
      <c r="F483" s="298"/>
      <c r="G483" s="298">
        <v>2</v>
      </c>
    </row>
    <row r="484" spans="1:7">
      <c r="A484" s="381" t="s">
        <v>1001</v>
      </c>
      <c r="B484" s="394"/>
      <c r="C484" s="382"/>
      <c r="D484" s="299"/>
      <c r="E484" s="299"/>
      <c r="F484" s="298"/>
      <c r="G484" s="298">
        <v>1</v>
      </c>
    </row>
    <row r="485" spans="1:7">
      <c r="A485" s="360"/>
      <c r="B485" s="366"/>
      <c r="C485" s="361"/>
      <c r="D485" s="361"/>
      <c r="E485" s="373" t="s">
        <v>734</v>
      </c>
      <c r="F485" s="363"/>
      <c r="G485" s="364">
        <f>SUM(G480:G484)</f>
        <v>7</v>
      </c>
    </row>
    <row r="486" spans="1:7">
      <c r="A486" s="297" t="s">
        <v>1064</v>
      </c>
      <c r="B486" s="298"/>
      <c r="C486" s="299"/>
      <c r="D486" s="299"/>
      <c r="E486" s="299"/>
      <c r="F486" s="298"/>
      <c r="G486" s="357">
        <v>1</v>
      </c>
    </row>
    <row r="487" spans="1:7">
      <c r="A487" s="437"/>
      <c r="B487" s="437"/>
      <c r="C487" s="438"/>
      <c r="D487" s="438"/>
      <c r="E487" s="438"/>
      <c r="F487" s="437"/>
      <c r="G487" s="437"/>
    </row>
    <row r="488" spans="1:7">
      <c r="A488" s="381" t="s">
        <v>1065</v>
      </c>
      <c r="B488" s="394"/>
      <c r="C488" s="382"/>
      <c r="D488" s="299"/>
      <c r="E488" s="299"/>
      <c r="F488" s="298"/>
      <c r="G488" s="298">
        <v>6</v>
      </c>
    </row>
    <row r="489" spans="1:7">
      <c r="A489" s="381" t="s">
        <v>1066</v>
      </c>
      <c r="B489" s="394"/>
      <c r="C489" s="382"/>
      <c r="D489" s="299"/>
      <c r="E489" s="299"/>
      <c r="F489" s="298"/>
      <c r="G489" s="357">
        <v>1</v>
      </c>
    </row>
    <row r="490" spans="1:7">
      <c r="A490" s="381"/>
      <c r="B490" s="394"/>
      <c r="C490" s="382"/>
      <c r="D490" s="299"/>
      <c r="E490" s="382" t="s">
        <v>439</v>
      </c>
      <c r="F490" s="298"/>
      <c r="G490" s="298"/>
    </row>
    <row r="491" spans="1:7">
      <c r="A491" s="439"/>
      <c r="B491" s="439"/>
      <c r="C491" s="439"/>
      <c r="D491" s="439"/>
      <c r="E491" s="439"/>
      <c r="F491" s="439"/>
      <c r="G491" s="439"/>
    </row>
    <row r="492" spans="1:7">
      <c r="A492" s="297" t="s">
        <v>1067</v>
      </c>
      <c r="B492" s="229"/>
      <c r="C492" s="299"/>
      <c r="D492" s="299"/>
      <c r="E492" s="299"/>
      <c r="F492" s="298"/>
      <c r="G492" s="298">
        <v>2</v>
      </c>
    </row>
    <row r="493" spans="1:7">
      <c r="A493" s="391"/>
      <c r="B493" s="392"/>
      <c r="C493" s="393"/>
      <c r="D493" s="361"/>
      <c r="E493" s="373" t="s">
        <v>734</v>
      </c>
      <c r="F493" s="363"/>
      <c r="G493" s="364">
        <f>SUM(G492)</f>
        <v>2</v>
      </c>
    </row>
    <row r="494" spans="1:7">
      <c r="A494" s="440"/>
      <c r="B494" s="440"/>
      <c r="C494" s="440"/>
      <c r="D494" s="440"/>
      <c r="E494" s="440"/>
      <c r="F494" s="440"/>
      <c r="G494" s="440"/>
    </row>
    <row r="495" spans="1:7">
      <c r="A495" s="297" t="s">
        <v>1068</v>
      </c>
      <c r="B495" s="229"/>
      <c r="C495" s="299"/>
      <c r="D495" s="299"/>
      <c r="E495" s="299"/>
      <c r="F495" s="298"/>
      <c r="G495" s="298">
        <v>6</v>
      </c>
    </row>
    <row r="496" spans="1:7">
      <c r="A496" s="391"/>
      <c r="B496" s="392"/>
      <c r="C496" s="393"/>
      <c r="D496" s="361"/>
      <c r="E496" s="373" t="s">
        <v>734</v>
      </c>
      <c r="F496" s="363"/>
      <c r="G496" s="364">
        <f>SUM(G495)</f>
        <v>6</v>
      </c>
    </row>
    <row r="497" spans="1:7">
      <c r="A497" s="440"/>
      <c r="B497" s="440"/>
      <c r="C497" s="440"/>
      <c r="D497" s="440"/>
      <c r="E497" s="440"/>
      <c r="F497" s="440"/>
      <c r="G497" s="440"/>
    </row>
    <row r="498" spans="1:7">
      <c r="A498" s="297" t="s">
        <v>1069</v>
      </c>
      <c r="B498" s="229"/>
      <c r="C498" s="299"/>
      <c r="D498" s="299"/>
      <c r="E498" s="299"/>
      <c r="F498" s="298"/>
      <c r="G498" s="298">
        <v>13</v>
      </c>
    </row>
    <row r="499" spans="1:7">
      <c r="A499" s="391"/>
      <c r="B499" s="392"/>
      <c r="C499" s="393"/>
      <c r="D499" s="361"/>
      <c r="E499" s="373" t="s">
        <v>734</v>
      </c>
      <c r="F499" s="363"/>
      <c r="G499" s="364">
        <f>SUM(G498)</f>
        <v>13</v>
      </c>
    </row>
    <row r="500" spans="1:7">
      <c r="A500" s="440"/>
      <c r="B500" s="440"/>
      <c r="C500" s="440"/>
      <c r="D500" s="440"/>
      <c r="E500" s="440"/>
      <c r="F500" s="440"/>
      <c r="G500" s="440"/>
    </row>
    <row r="501" spans="1:7">
      <c r="A501" s="290" t="s">
        <v>1070</v>
      </c>
      <c r="B501" s="291"/>
      <c r="C501" s="291"/>
      <c r="D501" s="291"/>
      <c r="E501" s="291"/>
      <c r="F501" s="291"/>
      <c r="G501" s="292"/>
    </row>
    <row r="502" spans="1:7">
      <c r="A502" s="293" t="s">
        <v>807</v>
      </c>
      <c r="B502" s="294"/>
      <c r="C502" s="295"/>
      <c r="D502" s="295"/>
      <c r="E502" s="295"/>
      <c r="F502" s="294"/>
      <c r="G502" s="294" t="s">
        <v>996</v>
      </c>
    </row>
    <row r="503" s="275" customFormat="1" ht="24.75" customHeight="1" spans="1:7">
      <c r="A503" s="381" t="s">
        <v>1071</v>
      </c>
      <c r="B503" s="298"/>
      <c r="C503" s="441" t="s">
        <v>1072</v>
      </c>
      <c r="D503" s="436"/>
      <c r="E503" s="436"/>
      <c r="F503" s="442"/>
      <c r="G503" s="298">
        <f>5.13+3.5*7+3</f>
        <v>32.63</v>
      </c>
    </row>
    <row r="504" s="275" customFormat="1" spans="1:7">
      <c r="A504" s="381"/>
      <c r="B504" s="298"/>
      <c r="C504" s="441"/>
      <c r="D504" s="436"/>
      <c r="E504" s="436"/>
      <c r="F504" s="442"/>
      <c r="G504" s="298"/>
    </row>
    <row r="505" spans="1:7">
      <c r="A505" s="381"/>
      <c r="B505" s="298"/>
      <c r="C505" s="441"/>
      <c r="D505" s="436"/>
      <c r="E505" s="436"/>
      <c r="F505" s="442"/>
      <c r="G505" s="298"/>
    </row>
    <row r="506" spans="1:7">
      <c r="A506" s="381"/>
      <c r="B506" s="298"/>
      <c r="C506" s="420"/>
      <c r="D506" s="358" t="s">
        <v>853</v>
      </c>
      <c r="E506" s="358" t="s">
        <v>1073</v>
      </c>
      <c r="F506" s="358"/>
      <c r="G506" s="358" t="s">
        <v>909</v>
      </c>
    </row>
    <row r="507" spans="1:7">
      <c r="A507" s="381" t="s">
        <v>469</v>
      </c>
      <c r="B507" s="298"/>
      <c r="C507" s="420"/>
      <c r="D507" s="299">
        <f>(1.4+0.02*2)+(0.426+0.01*2)+(0.86+0.01*2+0.61+0.01)</f>
        <v>3.386</v>
      </c>
      <c r="E507" s="299">
        <v>0.39</v>
      </c>
      <c r="F507" s="358"/>
      <c r="G507" s="300">
        <f>ROUND(D507*E507,2)</f>
        <v>1.32</v>
      </c>
    </row>
    <row r="508" spans="1:7">
      <c r="A508" s="381" t="s">
        <v>471</v>
      </c>
      <c r="B508" s="298"/>
      <c r="C508" s="420"/>
      <c r="D508" s="299">
        <f>ROUND((24.475*2+13.175*2)*0.3,2)</f>
        <v>22.59</v>
      </c>
      <c r="E508" s="299"/>
      <c r="F508" s="358"/>
      <c r="G508" s="298"/>
    </row>
    <row r="509" spans="1:7">
      <c r="A509" s="381" t="s">
        <v>473</v>
      </c>
      <c r="B509" s="298"/>
      <c r="C509" s="420"/>
      <c r="D509" s="299">
        <f>D508*2</f>
        <v>45.18</v>
      </c>
      <c r="E509" s="299"/>
      <c r="F509" s="358"/>
      <c r="G509" s="298"/>
    </row>
    <row r="510" spans="1:7">
      <c r="A510" s="381"/>
      <c r="B510" s="358" t="s">
        <v>1074</v>
      </c>
      <c r="C510" s="358"/>
      <c r="D510" s="358" t="s">
        <v>1075</v>
      </c>
      <c r="E510" s="358"/>
      <c r="F510" s="358" t="s">
        <v>1076</v>
      </c>
      <c r="G510" s="358" t="s">
        <v>1077</v>
      </c>
    </row>
    <row r="511" spans="1:7">
      <c r="A511" s="381" t="s">
        <v>1078</v>
      </c>
      <c r="B511" s="300">
        <v>23.97</v>
      </c>
      <c r="C511" s="420"/>
      <c r="D511" s="299">
        <v>11.3</v>
      </c>
      <c r="E511" s="299"/>
      <c r="F511" s="300">
        <v>13.7</v>
      </c>
      <c r="G511" s="300">
        <f>B511+D511+F511</f>
        <v>48.97</v>
      </c>
    </row>
    <row r="512" spans="1:7">
      <c r="A512" s="381" t="s">
        <v>1079</v>
      </c>
      <c r="B512" s="300">
        <v>12.925</v>
      </c>
      <c r="C512" s="420"/>
      <c r="D512" s="299"/>
      <c r="E512" s="299"/>
      <c r="F512" s="300"/>
      <c r="G512" s="300">
        <f>B512</f>
        <v>12.925</v>
      </c>
    </row>
    <row r="513" spans="1:7">
      <c r="A513" s="381"/>
      <c r="B513" s="300"/>
      <c r="C513" s="420"/>
      <c r="D513" s="299"/>
      <c r="E513" s="299"/>
      <c r="F513" s="300"/>
      <c r="G513" s="300"/>
    </row>
    <row r="514" spans="1:7">
      <c r="A514" s="381" t="s">
        <v>479</v>
      </c>
      <c r="B514" s="300"/>
      <c r="C514" s="420"/>
      <c r="D514" s="299">
        <v>7</v>
      </c>
      <c r="E514" s="299"/>
      <c r="F514" s="300"/>
      <c r="G514" s="300"/>
    </row>
    <row r="515" spans="1:7">
      <c r="A515" s="381"/>
      <c r="B515" s="298"/>
      <c r="C515" s="420"/>
      <c r="D515" s="420"/>
      <c r="E515" s="420"/>
      <c r="F515" s="358"/>
      <c r="G515" s="298"/>
    </row>
    <row r="516" ht="21" spans="1:7">
      <c r="A516" s="443" t="s">
        <v>1080</v>
      </c>
      <c r="B516" s="298"/>
      <c r="C516" s="358" t="s">
        <v>871</v>
      </c>
      <c r="D516" s="358" t="s">
        <v>1081</v>
      </c>
      <c r="E516" s="358" t="s">
        <v>1082</v>
      </c>
      <c r="F516" s="358"/>
      <c r="G516" s="358" t="s">
        <v>1077</v>
      </c>
    </row>
    <row r="517" spans="1:7">
      <c r="A517" s="444"/>
      <c r="B517" s="435"/>
      <c r="C517" s="382">
        <v>10</v>
      </c>
      <c r="D517" s="299">
        <v>2.3</v>
      </c>
      <c r="E517" s="299">
        <v>0.7</v>
      </c>
      <c r="F517" s="442"/>
      <c r="G517" s="298">
        <f>ROUND((D517+E517)*C517,2)</f>
        <v>30</v>
      </c>
    </row>
    <row r="518" spans="1:7">
      <c r="A518" s="440"/>
      <c r="B518" s="440"/>
      <c r="C518" s="440"/>
      <c r="D518" s="440"/>
      <c r="E518" s="440"/>
      <c r="F518" s="440"/>
      <c r="G518" s="440"/>
    </row>
    <row r="519" spans="1:7">
      <c r="A519" s="290" t="s">
        <v>1083</v>
      </c>
      <c r="B519" s="291"/>
      <c r="C519" s="291"/>
      <c r="D519" s="291"/>
      <c r="E519" s="291"/>
      <c r="F519" s="291"/>
      <c r="G519" s="292"/>
    </row>
    <row r="520" spans="1:7">
      <c r="A520" s="293" t="s">
        <v>807</v>
      </c>
      <c r="B520" s="294"/>
      <c r="C520" s="295"/>
      <c r="D520" s="295"/>
      <c r="E520" s="295"/>
      <c r="F520" s="294"/>
      <c r="G520" s="294" t="s">
        <v>1057</v>
      </c>
    </row>
    <row r="521" spans="1:7">
      <c r="A521" s="381" t="s">
        <v>1084</v>
      </c>
      <c r="B521" s="298"/>
      <c r="C521" s="430"/>
      <c r="D521" s="430"/>
      <c r="E521" s="430"/>
      <c r="F521" s="430"/>
      <c r="G521" s="432">
        <v>17</v>
      </c>
    </row>
    <row r="522" spans="1:7">
      <c r="A522" s="381" t="s">
        <v>1085</v>
      </c>
      <c r="B522" s="298"/>
      <c r="C522" s="430"/>
      <c r="D522" s="430"/>
      <c r="E522" s="430"/>
      <c r="F522" s="430"/>
      <c r="G522" s="432">
        <v>4</v>
      </c>
    </row>
    <row r="523" spans="1:7">
      <c r="A523" s="381" t="s">
        <v>1086</v>
      </c>
      <c r="B523" s="298"/>
      <c r="C523" s="430"/>
      <c r="D523" s="430"/>
      <c r="E523" s="430"/>
      <c r="F523" s="430"/>
      <c r="G523" s="432">
        <v>4</v>
      </c>
    </row>
    <row r="524" spans="1:7">
      <c r="A524" s="297" t="s">
        <v>1087</v>
      </c>
      <c r="B524" s="229"/>
      <c r="C524" s="430"/>
      <c r="D524" s="430"/>
      <c r="E524" s="430"/>
      <c r="F524" s="430"/>
      <c r="G524" s="432">
        <v>2</v>
      </c>
    </row>
    <row r="525" spans="1:7">
      <c r="A525" s="297" t="s">
        <v>1088</v>
      </c>
      <c r="B525" s="229"/>
      <c r="C525" s="430"/>
      <c r="D525" s="430"/>
      <c r="E525" s="430"/>
      <c r="F525" s="430"/>
      <c r="G525" s="432">
        <v>2</v>
      </c>
    </row>
    <row r="526" spans="1:7">
      <c r="A526" s="297" t="s">
        <v>1089</v>
      </c>
      <c r="B526" s="298"/>
      <c r="C526" s="430"/>
      <c r="D526" s="430"/>
      <c r="E526" s="430"/>
      <c r="F526" s="430"/>
      <c r="G526" s="432">
        <v>4</v>
      </c>
    </row>
    <row r="527" spans="1:7">
      <c r="A527" s="445" t="s">
        <v>1090</v>
      </c>
      <c r="B527" s="298"/>
      <c r="C527" s="430"/>
      <c r="D527" s="430"/>
      <c r="E527" s="430"/>
      <c r="F527" s="430"/>
      <c r="G527" s="432">
        <v>12</v>
      </c>
    </row>
    <row r="528" spans="1:7">
      <c r="A528" s="440"/>
      <c r="B528" s="440"/>
      <c r="C528" s="446"/>
      <c r="D528" s="446"/>
      <c r="E528" s="446"/>
      <c r="F528" s="440"/>
      <c r="G528" s="440"/>
    </row>
    <row r="529" spans="1:7">
      <c r="A529" s="290" t="s">
        <v>1091</v>
      </c>
      <c r="B529" s="291"/>
      <c r="C529" s="291"/>
      <c r="D529" s="291"/>
      <c r="E529" s="291"/>
      <c r="F529" s="291"/>
      <c r="G529" s="292"/>
    </row>
    <row r="530" spans="1:7">
      <c r="A530" s="293" t="s">
        <v>807</v>
      </c>
      <c r="B530" s="294"/>
      <c r="C530" s="295"/>
      <c r="D530" s="295"/>
      <c r="E530" s="295"/>
      <c r="F530" s="294"/>
      <c r="G530" s="447" t="s">
        <v>1057</v>
      </c>
    </row>
    <row r="531" customHeight="1" spans="1:7">
      <c r="A531" s="448" t="s">
        <v>1092</v>
      </c>
      <c r="B531" s="298"/>
      <c r="C531" s="246"/>
      <c r="D531" s="246"/>
      <c r="E531" s="358" t="s">
        <v>871</v>
      </c>
      <c r="F531" s="358" t="s">
        <v>1093</v>
      </c>
      <c r="G531" s="436" t="s">
        <v>1094</v>
      </c>
    </row>
    <row r="532" spans="1:7">
      <c r="A532" s="381" t="s">
        <v>1095</v>
      </c>
      <c r="B532" s="298"/>
      <c r="C532" s="420"/>
      <c r="D532" s="420"/>
      <c r="E532" s="449">
        <v>12</v>
      </c>
      <c r="F532" s="300">
        <v>1.1</v>
      </c>
      <c r="G532" s="298">
        <f>ROUND(E532*F532,2)</f>
        <v>13.2</v>
      </c>
    </row>
    <row r="533" spans="1:7">
      <c r="A533" s="381" t="s">
        <v>1096</v>
      </c>
      <c r="B533" s="298"/>
      <c r="C533" s="420"/>
      <c r="D533" s="420"/>
      <c r="E533" s="449">
        <v>29</v>
      </c>
      <c r="F533" s="300">
        <v>1.9</v>
      </c>
      <c r="G533" s="298">
        <f>ROUND(E533*F533,2)</f>
        <v>55.1</v>
      </c>
    </row>
    <row r="534" spans="1:7">
      <c r="A534" s="297" t="s">
        <v>1097</v>
      </c>
      <c r="B534" s="298"/>
      <c r="C534" s="420"/>
      <c r="D534" s="420"/>
      <c r="E534" s="449">
        <v>41</v>
      </c>
      <c r="F534" s="300">
        <v>2.8</v>
      </c>
      <c r="G534" s="298">
        <f>ROUND(E534*F534,2)</f>
        <v>114.8</v>
      </c>
    </row>
    <row r="535" spans="1:7">
      <c r="A535" s="297" t="s">
        <v>1098</v>
      </c>
      <c r="B535" s="298"/>
      <c r="C535" s="420"/>
      <c r="D535" s="420"/>
      <c r="E535" s="299">
        <v>12</v>
      </c>
      <c r="F535" s="300">
        <v>1.9</v>
      </c>
      <c r="G535" s="298">
        <f>ROUND(E535*F535,2)</f>
        <v>22.8</v>
      </c>
    </row>
    <row r="536" spans="1:7">
      <c r="A536" s="360"/>
      <c r="B536" s="366"/>
      <c r="C536" s="361"/>
      <c r="D536" s="361"/>
      <c r="E536" s="450" t="s">
        <v>734</v>
      </c>
      <c r="F536" s="451"/>
      <c r="G536" s="452">
        <f>SUM(G532:G535)</f>
        <v>205.9</v>
      </c>
    </row>
    <row r="537" spans="1:7">
      <c r="A537" s="440"/>
      <c r="B537" s="440"/>
      <c r="C537" s="446"/>
      <c r="D537" s="446"/>
      <c r="E537" s="446"/>
      <c r="F537" s="440"/>
      <c r="G537" s="440"/>
    </row>
    <row r="538" spans="1:7">
      <c r="A538" s="290" t="s">
        <v>1099</v>
      </c>
      <c r="B538" s="291"/>
      <c r="C538" s="291"/>
      <c r="D538" s="291"/>
      <c r="E538" s="291"/>
      <c r="F538" s="291"/>
      <c r="G538" s="292"/>
    </row>
    <row r="539" spans="1:9">
      <c r="A539" s="302" t="s">
        <v>807</v>
      </c>
      <c r="B539" s="303"/>
      <c r="C539" s="304"/>
      <c r="D539" s="304"/>
      <c r="E539" s="304" t="s">
        <v>1100</v>
      </c>
      <c r="F539" s="437"/>
      <c r="G539" s="303" t="s">
        <v>1057</v>
      </c>
      <c r="I539" s="482"/>
    </row>
    <row r="540" spans="1:9">
      <c r="A540" s="448" t="s">
        <v>1092</v>
      </c>
      <c r="B540" s="298"/>
      <c r="C540" s="246"/>
      <c r="D540" s="246"/>
      <c r="E540" s="420" t="s">
        <v>871</v>
      </c>
      <c r="F540" s="358" t="s">
        <v>1093</v>
      </c>
      <c r="G540" s="436" t="s">
        <v>1094</v>
      </c>
      <c r="I540" s="482"/>
    </row>
    <row r="541" spans="1:9">
      <c r="A541" s="297" t="s">
        <v>1101</v>
      </c>
      <c r="B541" s="298"/>
      <c r="C541" s="420"/>
      <c r="D541" s="420"/>
      <c r="E541" s="299">
        <v>1</v>
      </c>
      <c r="F541" s="300">
        <v>1.7</v>
      </c>
      <c r="G541" s="449">
        <f>F541*E541</f>
        <v>1.7</v>
      </c>
      <c r="I541" s="482"/>
    </row>
    <row r="542" spans="1:9">
      <c r="A542" s="297" t="s">
        <v>1097</v>
      </c>
      <c r="B542" s="298"/>
      <c r="C542" s="420"/>
      <c r="D542" s="420"/>
      <c r="E542" s="299">
        <v>17</v>
      </c>
      <c r="F542" s="300">
        <f>3.1-0.3</f>
        <v>2.8</v>
      </c>
      <c r="G542" s="449">
        <f>F542*E542</f>
        <v>47.6</v>
      </c>
      <c r="I542" s="482"/>
    </row>
    <row r="543" spans="1:7">
      <c r="A543" s="360"/>
      <c r="B543" s="366"/>
      <c r="C543" s="361"/>
      <c r="D543" s="361"/>
      <c r="E543" s="450" t="s">
        <v>734</v>
      </c>
      <c r="F543" s="451"/>
      <c r="G543" s="452">
        <f>SUM(G541:G542)</f>
        <v>49.3</v>
      </c>
    </row>
    <row r="544" spans="1:7">
      <c r="A544" s="440"/>
      <c r="B544" s="440"/>
      <c r="C544" s="446"/>
      <c r="D544" s="446"/>
      <c r="E544" s="446"/>
      <c r="F544" s="440"/>
      <c r="G544" s="440"/>
    </row>
    <row r="545" spans="1:9">
      <c r="A545" s="290" t="s">
        <v>1102</v>
      </c>
      <c r="B545" s="291"/>
      <c r="C545" s="291"/>
      <c r="D545" s="291"/>
      <c r="E545" s="291"/>
      <c r="F545" s="291"/>
      <c r="G545" s="292"/>
      <c r="I545" s="482"/>
    </row>
    <row r="546" spans="1:9">
      <c r="A546" s="293" t="s">
        <v>807</v>
      </c>
      <c r="B546" s="294"/>
      <c r="C546" s="295"/>
      <c r="D546" s="295" t="s">
        <v>1103</v>
      </c>
      <c r="E546" s="453"/>
      <c r="F546" s="294" t="s">
        <v>1104</v>
      </c>
      <c r="G546" s="294" t="s">
        <v>734</v>
      </c>
      <c r="I546" s="482"/>
    </row>
    <row r="547" ht="22.5" spans="1:9">
      <c r="A547" s="297" t="s">
        <v>664</v>
      </c>
      <c r="B547" s="298"/>
      <c r="C547" s="299"/>
      <c r="D547" s="299">
        <v>50</v>
      </c>
      <c r="E547" s="299"/>
      <c r="F547" s="454">
        <v>0.0625</v>
      </c>
      <c r="G547" s="298">
        <f>ROUND(D547*F547,2)</f>
        <v>3.13</v>
      </c>
      <c r="I547" s="482"/>
    </row>
    <row r="548" ht="22.5" spans="1:9">
      <c r="A548" s="297" t="s">
        <v>666</v>
      </c>
      <c r="B548" s="298"/>
      <c r="C548" s="299"/>
      <c r="D548" s="299">
        <v>62</v>
      </c>
      <c r="E548" s="299"/>
      <c r="F548" s="454">
        <f>0.25*0.25</f>
        <v>0.0625</v>
      </c>
      <c r="G548" s="298">
        <f>ROUND(D548*F548,2)</f>
        <v>3.88</v>
      </c>
      <c r="I548" s="482"/>
    </row>
    <row r="549" spans="1:9">
      <c r="A549" s="440"/>
      <c r="B549" s="440"/>
      <c r="C549" s="446"/>
      <c r="D549" s="446"/>
      <c r="E549" s="446"/>
      <c r="F549" s="440"/>
      <c r="G549" s="440"/>
      <c r="I549" s="482"/>
    </row>
    <row r="550" spans="1:9">
      <c r="A550" s="290" t="s">
        <v>1105</v>
      </c>
      <c r="B550" s="291"/>
      <c r="C550" s="291"/>
      <c r="D550" s="291"/>
      <c r="E550" s="291"/>
      <c r="F550" s="291"/>
      <c r="G550" s="292"/>
      <c r="I550" s="482"/>
    </row>
    <row r="551" spans="1:9">
      <c r="A551" s="302" t="s">
        <v>807</v>
      </c>
      <c r="B551" s="303"/>
      <c r="C551" s="304"/>
      <c r="D551" s="303" t="s">
        <v>833</v>
      </c>
      <c r="E551" s="455" t="s">
        <v>853</v>
      </c>
      <c r="F551" s="303"/>
      <c r="G551" s="303" t="s">
        <v>1106</v>
      </c>
      <c r="I551" s="482"/>
    </row>
    <row r="552" spans="1:9">
      <c r="A552" s="456" t="s">
        <v>1107</v>
      </c>
      <c r="B552" s="455"/>
      <c r="C552" s="457"/>
      <c r="D552" s="458">
        <f>25+4.46*2+1.5+11*2+1.5*2+4.54*2+1.5+4.53*2</f>
        <v>80.06</v>
      </c>
      <c r="E552" s="458"/>
      <c r="F552" s="455"/>
      <c r="G552" s="455"/>
      <c r="I552" s="482"/>
    </row>
    <row r="553" spans="1:9">
      <c r="A553" s="456" t="s">
        <v>1108</v>
      </c>
      <c r="B553" s="455"/>
      <c r="C553" s="457"/>
      <c r="D553" s="458"/>
      <c r="E553" s="459">
        <f>5.33*3</f>
        <v>15.99</v>
      </c>
      <c r="F553" s="455"/>
      <c r="G553" s="455"/>
      <c r="I553" s="482"/>
    </row>
    <row r="554" spans="1:9">
      <c r="A554" s="456" t="s">
        <v>1109</v>
      </c>
      <c r="B554" s="455"/>
      <c r="C554" s="457"/>
      <c r="D554" s="458"/>
      <c r="E554" s="459">
        <v>383.57</v>
      </c>
      <c r="F554" s="455"/>
      <c r="G554" s="455"/>
      <c r="I554" s="482"/>
    </row>
    <row r="555" spans="1:9">
      <c r="A555" s="456" t="s">
        <v>1110</v>
      </c>
      <c r="B555" s="455"/>
      <c r="C555" s="457"/>
      <c r="D555" s="458"/>
      <c r="E555" s="459">
        <v>87.06</v>
      </c>
      <c r="F555" s="455"/>
      <c r="G555" s="455"/>
      <c r="I555" s="482"/>
    </row>
    <row r="556" spans="1:9">
      <c r="A556" s="456" t="s">
        <v>1111</v>
      </c>
      <c r="B556" s="455"/>
      <c r="C556" s="457"/>
      <c r="D556" s="458"/>
      <c r="E556" s="459">
        <f>6.8+16.5+6.7</f>
        <v>30</v>
      </c>
      <c r="F556" s="455"/>
      <c r="G556" s="455"/>
      <c r="I556" s="482"/>
    </row>
    <row r="557" spans="1:9">
      <c r="A557" s="455"/>
      <c r="B557" s="455"/>
      <c r="C557" s="457"/>
      <c r="D557" s="457"/>
      <c r="E557" s="457"/>
      <c r="F557" s="455"/>
      <c r="G557" s="455"/>
      <c r="I557" s="482"/>
    </row>
    <row r="558" spans="1:9">
      <c r="A558" s="290" t="s">
        <v>1112</v>
      </c>
      <c r="B558" s="291"/>
      <c r="C558" s="291"/>
      <c r="D558" s="291"/>
      <c r="E558" s="291"/>
      <c r="F558" s="291"/>
      <c r="G558" s="292"/>
      <c r="I558" s="482"/>
    </row>
    <row r="559" spans="1:9">
      <c r="A559" s="302" t="s">
        <v>807</v>
      </c>
      <c r="B559" s="303"/>
      <c r="C559" s="303" t="s">
        <v>1093</v>
      </c>
      <c r="D559" s="303" t="s">
        <v>1113</v>
      </c>
      <c r="E559" s="303" t="s">
        <v>1114</v>
      </c>
      <c r="F559" s="303" t="s">
        <v>938</v>
      </c>
      <c r="G559" s="303" t="s">
        <v>1115</v>
      </c>
      <c r="I559" s="482"/>
    </row>
    <row r="560" spans="1:9">
      <c r="A560" s="390" t="s">
        <v>1116</v>
      </c>
      <c r="B560" s="404"/>
      <c r="C560" s="306">
        <f>1.3*2+1*2</f>
        <v>4.6</v>
      </c>
      <c r="D560" s="306">
        <v>2.5</v>
      </c>
      <c r="E560" s="306"/>
      <c r="F560" s="404">
        <f>ROUND(C560*D560,2)</f>
        <v>11.5</v>
      </c>
      <c r="G560" s="404"/>
      <c r="I560" s="482"/>
    </row>
    <row r="561" spans="1:9">
      <c r="A561" s="390" t="s">
        <v>1117</v>
      </c>
      <c r="B561" s="404"/>
      <c r="C561" s="306"/>
      <c r="D561" s="306"/>
      <c r="E561" s="306"/>
      <c r="F561" s="404">
        <v>1</v>
      </c>
      <c r="G561" s="404"/>
      <c r="I561" s="482"/>
    </row>
    <row r="562" spans="1:9">
      <c r="A562" s="412" t="s">
        <v>1118</v>
      </c>
      <c r="B562" s="404"/>
      <c r="C562" s="306">
        <v>1.5</v>
      </c>
      <c r="D562" s="306"/>
      <c r="E562" s="306">
        <v>1.5</v>
      </c>
      <c r="F562" s="404">
        <v>2.25</v>
      </c>
      <c r="G562" s="404"/>
      <c r="I562" s="482"/>
    </row>
    <row r="563" spans="1:9">
      <c r="A563" s="390" t="s">
        <v>1119</v>
      </c>
      <c r="B563" s="404"/>
      <c r="C563" s="306">
        <v>3.48</v>
      </c>
      <c r="D563" s="306">
        <v>0.15</v>
      </c>
      <c r="E563" s="306">
        <v>1.35</v>
      </c>
      <c r="F563" s="404"/>
      <c r="G563" s="404">
        <f>ROUND(C563*D563*E563,2)</f>
        <v>0.7</v>
      </c>
      <c r="I563" s="482"/>
    </row>
    <row r="564" spans="1:9">
      <c r="A564" s="390"/>
      <c r="B564" s="404"/>
      <c r="C564" s="306"/>
      <c r="D564" s="306"/>
      <c r="E564" s="306"/>
      <c r="F564" s="404"/>
      <c r="G564" s="404"/>
      <c r="I564" s="482"/>
    </row>
    <row r="565" spans="1:9">
      <c r="A565" s="440"/>
      <c r="B565" s="440"/>
      <c r="C565" s="446"/>
      <c r="D565" s="446"/>
      <c r="E565" s="446"/>
      <c r="F565" s="440"/>
      <c r="G565" s="440"/>
      <c r="I565" s="482"/>
    </row>
    <row r="566" spans="1:9">
      <c r="A566" s="460" t="s">
        <v>1120</v>
      </c>
      <c r="B566" s="461"/>
      <c r="C566" s="461"/>
      <c r="D566" s="461"/>
      <c r="E566" s="461"/>
      <c r="F566" s="461"/>
      <c r="G566" s="462"/>
      <c r="I566" s="482"/>
    </row>
    <row r="567" ht="31.5" spans="1:7">
      <c r="A567" s="463" t="s">
        <v>1121</v>
      </c>
      <c r="B567" s="455" t="s">
        <v>8</v>
      </c>
      <c r="C567" s="457" t="s">
        <v>1122</v>
      </c>
      <c r="D567" s="457" t="s">
        <v>1123</v>
      </c>
      <c r="E567" s="455" t="s">
        <v>734</v>
      </c>
      <c r="F567" s="455" t="s">
        <v>1124</v>
      </c>
      <c r="G567" s="464" t="s">
        <v>1125</v>
      </c>
    </row>
    <row r="568" spans="1:7">
      <c r="A568" s="465" t="s">
        <v>1126</v>
      </c>
      <c r="B568" s="466">
        <v>607.2</v>
      </c>
      <c r="C568" s="467"/>
      <c r="D568" s="467"/>
      <c r="E568" s="467"/>
      <c r="F568" s="468"/>
      <c r="G568" s="469"/>
    </row>
    <row r="569" ht="22.5" spans="1:7">
      <c r="A569" s="470" t="s">
        <v>1127</v>
      </c>
      <c r="B569" s="471"/>
      <c r="C569" s="458" t="s">
        <v>1128</v>
      </c>
      <c r="D569" s="458">
        <v>3.9582530064</v>
      </c>
      <c r="E569" s="472">
        <f>SUM(D569:D572)</f>
        <v>17.0891849568</v>
      </c>
      <c r="F569" s="473"/>
      <c r="G569" s="474"/>
    </row>
    <row r="570" ht="22.5" spans="1:7">
      <c r="A570" s="470" t="s">
        <v>1129</v>
      </c>
      <c r="B570" s="471"/>
      <c r="C570" s="458" t="s">
        <v>1128</v>
      </c>
      <c r="D570" s="458">
        <f>0.2028*0.02793*B568</f>
        <v>3.4393046688</v>
      </c>
      <c r="E570" s="475"/>
      <c r="F570" s="473" t="s">
        <v>1130</v>
      </c>
      <c r="G570" s="474">
        <f>E569*1.9</f>
        <v>32.46945141792</v>
      </c>
    </row>
    <row r="571" ht="22.5" spans="1:7">
      <c r="A571" s="470" t="s">
        <v>1131</v>
      </c>
      <c r="B571" s="471"/>
      <c r="C571" s="458" t="s">
        <v>1128</v>
      </c>
      <c r="D571" s="458">
        <f>0.247*B568*0.02831</f>
        <v>4.245888504</v>
      </c>
      <c r="E571" s="475"/>
      <c r="F571" s="473"/>
      <c r="G571" s="474"/>
    </row>
    <row r="572" ht="22.5" spans="1:7">
      <c r="A572" s="470" t="s">
        <v>1132</v>
      </c>
      <c r="B572" s="471"/>
      <c r="C572" s="458" t="s">
        <v>1128</v>
      </c>
      <c r="D572" s="458">
        <f>B568*0.3168*0.02831</f>
        <v>5.4457387776</v>
      </c>
      <c r="E572" s="476"/>
      <c r="F572" s="473"/>
      <c r="G572" s="474"/>
    </row>
    <row r="573" spans="1:7">
      <c r="A573" s="470" t="s">
        <v>1133</v>
      </c>
      <c r="B573" s="471"/>
      <c r="C573" s="458" t="s">
        <v>1134</v>
      </c>
      <c r="D573" s="458">
        <f>B568*1*0.0098*185.63</f>
        <v>1104.6024528</v>
      </c>
      <c r="E573" s="458">
        <f>D573</f>
        <v>1104.6024528</v>
      </c>
      <c r="F573" s="473"/>
      <c r="G573" s="474">
        <f>E573/1000</f>
        <v>1.1046024528</v>
      </c>
    </row>
    <row r="574" spans="1:7">
      <c r="A574" s="470" t="s">
        <v>1135</v>
      </c>
      <c r="B574" s="471"/>
      <c r="C574" s="458" t="s">
        <v>1136</v>
      </c>
      <c r="D574" s="458">
        <f>B568*1*0.0098*193.7</f>
        <v>1152.623472</v>
      </c>
      <c r="E574" s="458">
        <f>D574</f>
        <v>1152.623472</v>
      </c>
      <c r="F574" s="473"/>
      <c r="G574" s="474">
        <f>E574/1000</f>
        <v>1.152623472</v>
      </c>
    </row>
    <row r="575" spans="1:7">
      <c r="A575" s="470" t="s">
        <v>1137</v>
      </c>
      <c r="B575" s="471"/>
      <c r="C575" s="458" t="s">
        <v>1138</v>
      </c>
      <c r="D575" s="458">
        <f>B568*0.0098*1.29</f>
        <v>7.6762224</v>
      </c>
      <c r="E575" s="458">
        <f>D575</f>
        <v>7.6762224</v>
      </c>
      <c r="F575" s="473">
        <v>1.3</v>
      </c>
      <c r="G575" s="474">
        <f>ROUND(E575*F575,2)</f>
        <v>9.98</v>
      </c>
    </row>
    <row r="576" spans="1:7">
      <c r="A576" s="477"/>
      <c r="B576" s="478"/>
      <c r="C576" s="479"/>
      <c r="D576" s="479"/>
      <c r="E576" s="479"/>
      <c r="F576" s="480"/>
      <c r="G576" s="481"/>
    </row>
    <row r="577" spans="1:7">
      <c r="A577" s="465" t="s">
        <v>1139</v>
      </c>
      <c r="B577" s="466">
        <v>339.55</v>
      </c>
      <c r="C577" s="467"/>
      <c r="D577" s="467"/>
      <c r="E577" s="467"/>
      <c r="F577" s="468"/>
      <c r="G577" s="469"/>
    </row>
    <row r="578" spans="1:7">
      <c r="A578" s="470"/>
      <c r="B578" s="471"/>
      <c r="C578" s="458"/>
      <c r="D578" s="458"/>
      <c r="E578" s="278"/>
      <c r="F578" s="473"/>
      <c r="G578" s="474"/>
    </row>
    <row r="579" ht="22.5" spans="1:7">
      <c r="A579" s="470" t="s">
        <v>1129</v>
      </c>
      <c r="B579" s="471"/>
      <c r="C579" s="458" t="s">
        <v>1128</v>
      </c>
      <c r="D579" s="458">
        <f>0.02793*B577</f>
        <v>9.4836315</v>
      </c>
      <c r="E579" s="483">
        <f>SUM(D578:D579)</f>
        <v>9.4836315</v>
      </c>
      <c r="F579" s="473" t="s">
        <v>1130</v>
      </c>
      <c r="G579" s="474">
        <f>E579*1.9</f>
        <v>18.01889985</v>
      </c>
    </row>
    <row r="580" spans="1:7">
      <c r="A580" s="470" t="s">
        <v>1133</v>
      </c>
      <c r="B580" s="471"/>
      <c r="C580" s="458" t="s">
        <v>1134</v>
      </c>
      <c r="D580" s="458">
        <f>B577*1*0.0098*185.63</f>
        <v>617.7005317</v>
      </c>
      <c r="E580" s="458">
        <f>D580</f>
        <v>617.7005317</v>
      </c>
      <c r="F580" s="473"/>
      <c r="G580" s="474">
        <f>E580/1000</f>
        <v>0.6177005317</v>
      </c>
    </row>
    <row r="581" spans="1:7">
      <c r="A581" s="470" t="s">
        <v>1135</v>
      </c>
      <c r="B581" s="471"/>
      <c r="C581" s="458" t="s">
        <v>1136</v>
      </c>
      <c r="D581" s="458">
        <f>B577*1*0.0098*193.7</f>
        <v>644.554183</v>
      </c>
      <c r="E581" s="458">
        <f>D581</f>
        <v>644.554183</v>
      </c>
      <c r="F581" s="473"/>
      <c r="G581" s="474">
        <f>E581/1000</f>
        <v>0.644554183</v>
      </c>
    </row>
    <row r="582" spans="1:7">
      <c r="A582" s="470" t="s">
        <v>1137</v>
      </c>
      <c r="B582" s="471"/>
      <c r="C582" s="458" t="s">
        <v>1138</v>
      </c>
      <c r="D582" s="458">
        <f>B577*0.0098*1.29</f>
        <v>4.2925911</v>
      </c>
      <c r="E582" s="458">
        <f>D582</f>
        <v>4.2925911</v>
      </c>
      <c r="F582" s="473">
        <v>1.3</v>
      </c>
      <c r="G582" s="474">
        <f>ROUND(E582*F582,2)</f>
        <v>5.58</v>
      </c>
    </row>
    <row r="583" spans="1:7">
      <c r="A583" s="470"/>
      <c r="B583" s="471"/>
      <c r="C583" s="458"/>
      <c r="D583" s="458"/>
      <c r="E583" s="458"/>
      <c r="F583" s="473"/>
      <c r="G583" s="474"/>
    </row>
    <row r="584" ht="14.25" customHeight="1" spans="1:7">
      <c r="A584" s="465" t="s">
        <v>1140</v>
      </c>
      <c r="B584" s="466">
        <v>1310.11</v>
      </c>
      <c r="C584" s="484"/>
      <c r="D584" s="484"/>
      <c r="E584" s="484"/>
      <c r="F584" s="485"/>
      <c r="G584" s="486"/>
    </row>
    <row r="585" spans="1:7">
      <c r="A585" s="470" t="s">
        <v>1133</v>
      </c>
      <c r="B585" s="471"/>
      <c r="C585" s="458" t="s">
        <v>1134</v>
      </c>
      <c r="D585" s="458">
        <f>1*0.0379*185.63*B584</f>
        <v>9217.11776147</v>
      </c>
      <c r="E585" s="458">
        <f>D585</f>
        <v>9217.11776147</v>
      </c>
      <c r="F585" s="473"/>
      <c r="G585" s="474">
        <f>E585/1000</f>
        <v>9.21711776147</v>
      </c>
    </row>
    <row r="586" spans="1:7">
      <c r="A586" s="470" t="s">
        <v>1135</v>
      </c>
      <c r="B586" s="471"/>
      <c r="C586" s="458" t="s">
        <v>1136</v>
      </c>
      <c r="D586" s="458">
        <f>1*0.0379*193.7*B584</f>
        <v>9617.8188353</v>
      </c>
      <c r="E586" s="458">
        <f>D586</f>
        <v>9617.8188353</v>
      </c>
      <c r="F586" s="473"/>
      <c r="G586" s="474">
        <f>E586/1000</f>
        <v>9.6178188353</v>
      </c>
    </row>
    <row r="587" spans="1:7">
      <c r="A587" s="470" t="s">
        <v>1137</v>
      </c>
      <c r="B587" s="471"/>
      <c r="C587" s="458" t="s">
        <v>1138</v>
      </c>
      <c r="D587" s="458">
        <f>1*0.0379*1.29*B584</f>
        <v>64.05258801</v>
      </c>
      <c r="E587" s="458">
        <f>D587</f>
        <v>64.05258801</v>
      </c>
      <c r="F587" s="473">
        <v>1.3</v>
      </c>
      <c r="G587" s="474">
        <f>ROUND(E587*F587,2)</f>
        <v>83.27</v>
      </c>
    </row>
    <row r="588" spans="1:7">
      <c r="A588" s="477"/>
      <c r="B588" s="478"/>
      <c r="C588" s="479"/>
      <c r="D588" s="479"/>
      <c r="E588" s="479"/>
      <c r="F588" s="480"/>
      <c r="G588" s="481"/>
    </row>
    <row r="589" spans="1:7">
      <c r="A589" s="465" t="s">
        <v>1141</v>
      </c>
      <c r="B589" s="466">
        <v>86.9</v>
      </c>
      <c r="C589" s="484"/>
      <c r="D589" s="484"/>
      <c r="E589" s="484"/>
      <c r="F589" s="485"/>
      <c r="G589" s="486"/>
    </row>
    <row r="590" spans="1:7">
      <c r="A590" s="470"/>
      <c r="B590" s="471"/>
      <c r="C590" s="458" t="s">
        <v>1134</v>
      </c>
      <c r="D590" s="458">
        <f>B589*362.66</f>
        <v>31515.154</v>
      </c>
      <c r="E590" s="458">
        <f>D590</f>
        <v>31515.154</v>
      </c>
      <c r="F590" s="473"/>
      <c r="G590" s="474">
        <f>E590/1000</f>
        <v>31.515154</v>
      </c>
    </row>
    <row r="591" spans="1:7">
      <c r="A591" s="470"/>
      <c r="B591" s="471"/>
      <c r="C591" s="458" t="s">
        <v>1138</v>
      </c>
      <c r="D591" s="458">
        <f>B589*0.751</f>
        <v>65.2619</v>
      </c>
      <c r="E591" s="458">
        <f t="shared" ref="E591:E592" si="22">D591</f>
        <v>65.2619</v>
      </c>
      <c r="F591" s="473">
        <v>1.3</v>
      </c>
      <c r="G591" s="474">
        <f>F591*E591</f>
        <v>84.84047</v>
      </c>
    </row>
    <row r="592" spans="1:7">
      <c r="A592" s="470"/>
      <c r="B592" s="471"/>
      <c r="C592" s="458" t="s">
        <v>1142</v>
      </c>
      <c r="D592" s="458">
        <f>0.593*B589</f>
        <v>51.5317</v>
      </c>
      <c r="E592" s="458">
        <f t="shared" si="22"/>
        <v>51.5317</v>
      </c>
      <c r="F592" s="473">
        <v>1.36</v>
      </c>
      <c r="G592" s="474">
        <f>F592*E592</f>
        <v>70.083112</v>
      </c>
    </row>
    <row r="593" spans="1:7">
      <c r="A593" s="477"/>
      <c r="B593" s="478"/>
      <c r="C593" s="479"/>
      <c r="D593" s="479"/>
      <c r="E593" s="479"/>
      <c r="F593" s="480"/>
      <c r="G593" s="481"/>
    </row>
    <row r="594" spans="1:7">
      <c r="A594" s="465" t="s">
        <v>1143</v>
      </c>
      <c r="B594" s="466">
        <v>225.28</v>
      </c>
      <c r="C594" s="484"/>
      <c r="D594" s="484"/>
      <c r="E594" s="484"/>
      <c r="F594" s="485" t="s">
        <v>1144</v>
      </c>
      <c r="G594" s="486">
        <f>2.04*B594/1000</f>
        <v>0.4595712</v>
      </c>
    </row>
    <row r="595" spans="1:7">
      <c r="A595" s="477"/>
      <c r="B595" s="478"/>
      <c r="C595" s="479"/>
      <c r="D595" s="479"/>
      <c r="E595" s="479"/>
      <c r="F595" s="480"/>
      <c r="G595" s="481"/>
    </row>
    <row r="596" spans="1:7">
      <c r="A596" s="465" t="s">
        <v>1145</v>
      </c>
      <c r="B596" s="466">
        <v>282.3</v>
      </c>
      <c r="C596" s="484"/>
      <c r="D596" s="484"/>
      <c r="E596" s="484"/>
      <c r="F596" s="485"/>
      <c r="G596" s="486"/>
    </row>
    <row r="597" spans="1:7">
      <c r="A597" s="470" t="s">
        <v>1146</v>
      </c>
      <c r="B597" s="471"/>
      <c r="C597" s="458" t="s">
        <v>1147</v>
      </c>
      <c r="D597" s="458">
        <f>B596*1.335*0.15</f>
        <v>56.530575</v>
      </c>
      <c r="E597" s="458"/>
      <c r="F597" s="473" t="s">
        <v>1148</v>
      </c>
      <c r="G597" s="474">
        <f>ROUND(12*D597,2)/1000</f>
        <v>0.67837</v>
      </c>
    </row>
    <row r="598" spans="1:7">
      <c r="A598" s="470" t="s">
        <v>1149</v>
      </c>
      <c r="B598" s="471"/>
      <c r="C598" s="458" t="s">
        <v>1150</v>
      </c>
      <c r="D598" s="458">
        <f>B596*0.15*2.307</f>
        <v>97.689915</v>
      </c>
      <c r="E598" s="458"/>
      <c r="F598" s="473" t="s">
        <v>1151</v>
      </c>
      <c r="G598" s="474">
        <f>ROUND(D598*0.075*0.075*0.7,2)</f>
        <v>0.38</v>
      </c>
    </row>
    <row r="599" spans="1:7">
      <c r="A599" s="470" t="s">
        <v>1152</v>
      </c>
      <c r="B599" s="471"/>
      <c r="C599" s="458" t="s">
        <v>1150</v>
      </c>
      <c r="D599" s="458">
        <f>B596*8.291*0.15</f>
        <v>351.082395</v>
      </c>
      <c r="E599" s="458"/>
      <c r="F599" s="473" t="s">
        <v>1151</v>
      </c>
      <c r="G599" s="473">
        <f>ROUND(D599*0.025*0.075*0.7,2)</f>
        <v>0.46</v>
      </c>
    </row>
    <row r="600" spans="1:7">
      <c r="A600" s="477"/>
      <c r="B600" s="478"/>
      <c r="C600" s="479"/>
      <c r="D600" s="479"/>
      <c r="E600" s="479"/>
      <c r="F600" s="480"/>
      <c r="G600" s="481"/>
    </row>
    <row r="601" spans="1:7">
      <c r="A601" s="465" t="s">
        <v>1153</v>
      </c>
      <c r="B601" s="466">
        <v>178.82</v>
      </c>
      <c r="C601" s="487"/>
      <c r="D601" s="487"/>
      <c r="E601" s="487"/>
      <c r="F601" s="488"/>
      <c r="G601" s="489"/>
    </row>
    <row r="602" spans="1:7">
      <c r="A602" s="477"/>
      <c r="B602" s="478"/>
      <c r="C602" s="479"/>
      <c r="D602" s="479"/>
      <c r="E602" s="479"/>
      <c r="F602" s="480"/>
      <c r="G602" s="481"/>
    </row>
    <row r="603" spans="1:7">
      <c r="A603" s="470" t="s">
        <v>1154</v>
      </c>
      <c r="B603" s="471"/>
      <c r="C603" s="458" t="s">
        <v>1150</v>
      </c>
      <c r="D603" s="458">
        <f>0.419*B601*4.118</f>
        <v>308.54353844</v>
      </c>
      <c r="E603" s="458"/>
      <c r="F603" s="473" t="s">
        <v>1151</v>
      </c>
      <c r="G603" s="474">
        <f>ROUND(D603*0.025*0.3*0.7,2)</f>
        <v>1.62</v>
      </c>
    </row>
    <row r="604" spans="1:7">
      <c r="A604" s="470" t="s">
        <v>1155</v>
      </c>
      <c r="B604" s="471"/>
      <c r="C604" s="458" t="s">
        <v>1150</v>
      </c>
      <c r="D604" s="458">
        <f>0.419*B601*3.707</f>
        <v>277.74912506</v>
      </c>
      <c r="E604" s="458"/>
      <c r="F604" s="473" t="s">
        <v>1151</v>
      </c>
      <c r="G604" s="474">
        <f>ROUND(D604*0.025*0.07*0.7,2)</f>
        <v>0.34</v>
      </c>
    </row>
    <row r="605" spans="1:7">
      <c r="A605" s="470" t="s">
        <v>1156</v>
      </c>
      <c r="B605" s="471"/>
      <c r="C605" s="458" t="s">
        <v>1150</v>
      </c>
      <c r="D605" s="458">
        <f>1.879*B601*1.485</f>
        <v>498.9641283</v>
      </c>
      <c r="E605" s="458"/>
      <c r="F605" s="473" t="s">
        <v>1151</v>
      </c>
      <c r="G605" s="474">
        <f>ROUND(D605*0.075*0.075*0.7,2)</f>
        <v>1.96</v>
      </c>
    </row>
    <row r="606" spans="1:7">
      <c r="A606" s="490"/>
      <c r="B606" s="478"/>
      <c r="C606" s="453"/>
      <c r="D606" s="453"/>
      <c r="E606" s="479"/>
      <c r="F606" s="480"/>
      <c r="G606" s="481"/>
    </row>
    <row r="607" spans="1:7">
      <c r="A607" s="465" t="s">
        <v>1157</v>
      </c>
      <c r="B607" s="485">
        <v>174.76</v>
      </c>
      <c r="C607" s="484"/>
      <c r="D607" s="484"/>
      <c r="E607" s="484"/>
      <c r="F607" s="485"/>
      <c r="G607" s="486"/>
    </row>
    <row r="608" ht="22.5" spans="1:7">
      <c r="A608" s="470" t="s">
        <v>1158</v>
      </c>
      <c r="B608" s="491"/>
      <c r="C608" s="458" t="s">
        <v>1159</v>
      </c>
      <c r="D608" s="472">
        <f>B607*1.07</f>
        <v>186.9932</v>
      </c>
      <c r="E608" s="458">
        <f>D608</f>
        <v>186.9932</v>
      </c>
      <c r="F608" s="473" t="s">
        <v>1160</v>
      </c>
      <c r="G608" s="474">
        <f>ROUND(E608*20.25,2)/1000</f>
        <v>3.78661</v>
      </c>
    </row>
    <row r="609" spans="1:7">
      <c r="A609" s="477"/>
      <c r="B609" s="478"/>
      <c r="C609" s="479"/>
      <c r="D609" s="479"/>
      <c r="E609" s="479"/>
      <c r="F609" s="480"/>
      <c r="G609" s="481"/>
    </row>
    <row r="610" spans="1:7">
      <c r="A610" s="465" t="s">
        <v>1161</v>
      </c>
      <c r="B610" s="485">
        <v>1453.29</v>
      </c>
      <c r="C610" s="484"/>
      <c r="D610" s="484"/>
      <c r="E610" s="484"/>
      <c r="F610" s="485"/>
      <c r="G610" s="486"/>
    </row>
    <row r="611" spans="1:7">
      <c r="A611" s="470" t="s">
        <v>1162</v>
      </c>
      <c r="B611" s="471"/>
      <c r="C611" s="458" t="s">
        <v>1163</v>
      </c>
      <c r="D611" s="458">
        <f>0.33*B610</f>
        <v>479.5857</v>
      </c>
      <c r="E611" s="458"/>
      <c r="F611" s="473" t="s">
        <v>1164</v>
      </c>
      <c r="G611" s="474">
        <f>ROUND(1.5*D611,2)/1000</f>
        <v>0.71938</v>
      </c>
    </row>
    <row r="612" spans="1:7">
      <c r="A612" s="477"/>
      <c r="B612" s="478"/>
      <c r="C612" s="479"/>
      <c r="D612" s="479"/>
      <c r="E612" s="479"/>
      <c r="F612" s="480"/>
      <c r="G612" s="481"/>
    </row>
    <row r="613" spans="1:7">
      <c r="A613" s="465" t="s">
        <v>1165</v>
      </c>
      <c r="B613" s="485">
        <v>19.02</v>
      </c>
      <c r="C613" s="484"/>
      <c r="D613" s="484"/>
      <c r="E613" s="484"/>
      <c r="F613" s="485"/>
      <c r="G613" s="486"/>
    </row>
    <row r="614" spans="1:7">
      <c r="A614" s="470" t="s">
        <v>1133</v>
      </c>
      <c r="B614" s="471"/>
      <c r="C614" s="458" t="s">
        <v>1134</v>
      </c>
      <c r="D614" s="458">
        <f>B613*212.12</f>
        <v>4034.5224</v>
      </c>
      <c r="E614" s="458">
        <f>D614</f>
        <v>4034.5224</v>
      </c>
      <c r="F614" s="473"/>
      <c r="G614" s="474">
        <f>E614/1000</f>
        <v>4.0345224</v>
      </c>
    </row>
    <row r="615" spans="1:7">
      <c r="A615" s="470" t="s">
        <v>1166</v>
      </c>
      <c r="B615" s="471"/>
      <c r="C615" s="458" t="s">
        <v>1167</v>
      </c>
      <c r="D615" s="458">
        <f>0.579*B613</f>
        <v>11.01258</v>
      </c>
      <c r="E615" s="458"/>
      <c r="F615" s="473">
        <v>1.36</v>
      </c>
      <c r="G615" s="474">
        <f>D615*F615</f>
        <v>14.9771088</v>
      </c>
    </row>
    <row r="616" spans="1:7">
      <c r="A616" s="470" t="s">
        <v>1137</v>
      </c>
      <c r="B616" s="471"/>
      <c r="C616" s="458" t="s">
        <v>1138</v>
      </c>
      <c r="D616" s="458">
        <f>0.859*B613</f>
        <v>16.33818</v>
      </c>
      <c r="E616" s="458"/>
      <c r="F616" s="473">
        <v>1.3</v>
      </c>
      <c r="G616" s="474">
        <f>D616*F616</f>
        <v>21.239634</v>
      </c>
    </row>
    <row r="617" spans="1:7">
      <c r="A617" s="477"/>
      <c r="B617" s="478"/>
      <c r="C617" s="479"/>
      <c r="D617" s="479"/>
      <c r="E617" s="479"/>
      <c r="F617" s="480"/>
      <c r="G617" s="481"/>
    </row>
    <row r="618" spans="1:7">
      <c r="A618" s="465" t="s">
        <v>1168</v>
      </c>
      <c r="B618" s="485">
        <v>420.19</v>
      </c>
      <c r="C618" s="484"/>
      <c r="D618" s="484"/>
      <c r="E618" s="484"/>
      <c r="F618" s="485"/>
      <c r="G618" s="486"/>
    </row>
    <row r="619" spans="1:7">
      <c r="A619" s="470" t="s">
        <v>1169</v>
      </c>
      <c r="B619" s="471"/>
      <c r="C619" s="458" t="s">
        <v>1150</v>
      </c>
      <c r="D619" s="458">
        <f>B618*0.275</f>
        <v>115.55225</v>
      </c>
      <c r="E619" s="458"/>
      <c r="F619" s="473" t="s">
        <v>1151</v>
      </c>
      <c r="G619" s="474">
        <f>ROUND(D619*0.075*0.075*0.7,2)</f>
        <v>0.45</v>
      </c>
    </row>
    <row r="620" spans="1:7">
      <c r="A620" s="470" t="s">
        <v>1170</v>
      </c>
      <c r="B620" s="471"/>
      <c r="C620" s="458" t="s">
        <v>1150</v>
      </c>
      <c r="D620" s="458">
        <f>B618*0.24</f>
        <v>100.8456</v>
      </c>
      <c r="E620" s="458"/>
      <c r="F620" s="473" t="s">
        <v>1151</v>
      </c>
      <c r="G620" s="474">
        <f>ROUND(D620*0.025*0.05*0.7,2)</f>
        <v>0.09</v>
      </c>
    </row>
    <row r="621" spans="1:8">
      <c r="A621" s="470" t="s">
        <v>1171</v>
      </c>
      <c r="B621" s="471"/>
      <c r="C621" s="458" t="s">
        <v>1150</v>
      </c>
      <c r="D621" s="458">
        <f>0.792*B618</f>
        <v>332.79048</v>
      </c>
      <c r="E621" s="458"/>
      <c r="F621" s="473" t="s">
        <v>1151</v>
      </c>
      <c r="G621" s="474">
        <f>ROUND(D621*0.025*0.3*0.7,2)</f>
        <v>1.75</v>
      </c>
      <c r="H621" s="275"/>
    </row>
    <row r="622" spans="1:8">
      <c r="A622" s="477"/>
      <c r="B622" s="478"/>
      <c r="C622" s="479"/>
      <c r="D622" s="479"/>
      <c r="E622" s="479"/>
      <c r="F622" s="480"/>
      <c r="G622" s="481"/>
      <c r="H622" s="275"/>
    </row>
    <row r="623" spans="1:8">
      <c r="A623" s="465" t="s">
        <v>1172</v>
      </c>
      <c r="B623" s="485">
        <v>1147.39</v>
      </c>
      <c r="C623" s="484"/>
      <c r="D623" s="484"/>
      <c r="E623" s="484"/>
      <c r="F623" s="485"/>
      <c r="G623" s="486"/>
      <c r="H623" s="275"/>
    </row>
    <row r="624" ht="22.5" spans="1:8">
      <c r="A624" s="470" t="s">
        <v>1173</v>
      </c>
      <c r="B624" s="471"/>
      <c r="C624" s="458" t="s">
        <v>1174</v>
      </c>
      <c r="D624" s="458">
        <f>B623*0.0489</f>
        <v>56.107371</v>
      </c>
      <c r="E624" s="458"/>
      <c r="F624" s="473" t="s">
        <v>1175</v>
      </c>
      <c r="G624" s="474">
        <f>ROUND(D624*31.7,2)/1000</f>
        <v>1.7786</v>
      </c>
      <c r="H624" s="275"/>
    </row>
    <row r="625" spans="1:8">
      <c r="A625" s="477"/>
      <c r="B625" s="478"/>
      <c r="C625" s="479"/>
      <c r="D625" s="479"/>
      <c r="E625" s="479"/>
      <c r="F625" s="480"/>
      <c r="G625" s="481"/>
      <c r="H625" s="275"/>
    </row>
    <row r="626" spans="1:8">
      <c r="A626" s="465" t="s">
        <v>1176</v>
      </c>
      <c r="B626" s="485">
        <v>383.57</v>
      </c>
      <c r="C626" s="484"/>
      <c r="D626" s="484"/>
      <c r="E626" s="484"/>
      <c r="F626" s="485"/>
      <c r="G626" s="486"/>
      <c r="H626" s="275"/>
    </row>
    <row r="627" spans="1:10">
      <c r="A627" s="470" t="s">
        <v>1137</v>
      </c>
      <c r="B627" s="471"/>
      <c r="C627" s="458" t="s">
        <v>1138</v>
      </c>
      <c r="D627" s="458">
        <f>B626*0.0568</f>
        <v>21.786776</v>
      </c>
      <c r="E627" s="458">
        <f>D627</f>
        <v>21.786776</v>
      </c>
      <c r="F627" s="473">
        <v>1.3</v>
      </c>
      <c r="G627" s="474">
        <f>ROUND(E627*F627,2)</f>
        <v>28.32</v>
      </c>
      <c r="H627" s="275"/>
      <c r="I627" s="482"/>
      <c r="J627" s="501" t="s">
        <v>1177</v>
      </c>
    </row>
    <row r="628" ht="22.5" spans="1:13">
      <c r="A628" s="470" t="s">
        <v>1178</v>
      </c>
      <c r="B628" s="471"/>
      <c r="C628" s="458" t="s">
        <v>1179</v>
      </c>
      <c r="D628" s="458">
        <f>B626*0.0064</f>
        <v>2.454848</v>
      </c>
      <c r="E628" s="458">
        <f>D628</f>
        <v>2.454848</v>
      </c>
      <c r="F628" s="473">
        <v>1.5</v>
      </c>
      <c r="G628" s="474">
        <f>ROUND(E628*F628,2)</f>
        <v>3.68</v>
      </c>
      <c r="H628" s="275"/>
      <c r="I628" s="482"/>
      <c r="L628" s="278">
        <f>28/18</f>
        <v>1.55555555555556</v>
      </c>
      <c r="M628" s="278" t="s">
        <v>1180</v>
      </c>
    </row>
    <row r="629" spans="1:13">
      <c r="A629" s="470" t="s">
        <v>1181</v>
      </c>
      <c r="B629" s="471"/>
      <c r="C629" s="458" t="s">
        <v>1182</v>
      </c>
      <c r="D629" s="458">
        <f>B626*1.0174</f>
        <v>390.244118</v>
      </c>
      <c r="E629" s="458"/>
      <c r="F629" s="473" t="s">
        <v>1183</v>
      </c>
      <c r="G629" s="474">
        <f>ROUND(D629*115,2)/1000</f>
        <v>44.87807</v>
      </c>
      <c r="H629" s="275"/>
      <c r="I629" s="482"/>
      <c r="M629" s="278">
        <f>0.88*'PB III - Orçamento Sintetico'!E174</f>
        <v>1009.70496</v>
      </c>
    </row>
    <row r="630" spans="1:9">
      <c r="A630" s="477"/>
      <c r="B630" s="478"/>
      <c r="C630" s="492"/>
      <c r="D630" s="479"/>
      <c r="E630" s="493"/>
      <c r="F630" s="494"/>
      <c r="G630" s="495"/>
      <c r="H630" s="275"/>
      <c r="I630" s="482"/>
    </row>
    <row r="631" spans="1:9">
      <c r="A631" s="465" t="s">
        <v>1184</v>
      </c>
      <c r="B631" s="485">
        <v>287.32</v>
      </c>
      <c r="C631" s="484"/>
      <c r="D631" s="484"/>
      <c r="E631" s="457"/>
      <c r="F631" s="455"/>
      <c r="G631" s="464"/>
      <c r="H631" s="275"/>
      <c r="I631" s="482"/>
    </row>
    <row r="632" spans="1:9">
      <c r="A632" s="470" t="s">
        <v>1185</v>
      </c>
      <c r="B632" s="471"/>
      <c r="C632" s="458" t="s">
        <v>1186</v>
      </c>
      <c r="D632" s="458">
        <f>B631*1.166</f>
        <v>335.01512</v>
      </c>
      <c r="E632" s="458">
        <f>D632</f>
        <v>335.01512</v>
      </c>
      <c r="F632" s="473" t="s">
        <v>1187</v>
      </c>
      <c r="G632" s="474">
        <f>ROUND(E632*3.79,2)/1000</f>
        <v>1.26971</v>
      </c>
      <c r="H632" s="275"/>
      <c r="I632" s="482"/>
    </row>
    <row r="633" spans="1:9">
      <c r="A633" s="477"/>
      <c r="B633" s="478"/>
      <c r="C633" s="479"/>
      <c r="D633" s="479"/>
      <c r="E633" s="479"/>
      <c r="F633" s="480"/>
      <c r="G633" s="481"/>
      <c r="H633" s="275"/>
      <c r="I633" s="482"/>
    </row>
    <row r="634" spans="1:9">
      <c r="A634" s="465" t="s">
        <v>1188</v>
      </c>
      <c r="B634" s="485">
        <v>279.67</v>
      </c>
      <c r="C634" s="484"/>
      <c r="D634" s="484"/>
      <c r="E634" s="484"/>
      <c r="F634" s="485"/>
      <c r="G634" s="486"/>
      <c r="H634" s="275"/>
      <c r="I634" s="482"/>
    </row>
    <row r="635" spans="1:9">
      <c r="A635" s="470" t="s">
        <v>1189</v>
      </c>
      <c r="B635" s="471"/>
      <c r="C635" s="458" t="s">
        <v>1150</v>
      </c>
      <c r="D635" s="458">
        <f>B634*0.195*1.05</f>
        <v>57.2624325</v>
      </c>
      <c r="E635" s="458"/>
      <c r="F635" s="473" t="s">
        <v>1190</v>
      </c>
      <c r="G635" s="474">
        <f>ROUND(D635*5.87/1000,2)</f>
        <v>0.34</v>
      </c>
      <c r="H635" s="275"/>
      <c r="I635" s="482"/>
    </row>
    <row r="636" spans="1:9">
      <c r="A636" s="496"/>
      <c r="B636" s="497"/>
      <c r="C636" s="498"/>
      <c r="D636" s="498"/>
      <c r="E636" s="498"/>
      <c r="F636" s="499"/>
      <c r="G636" s="500"/>
      <c r="H636" s="275"/>
      <c r="I636" s="482"/>
    </row>
    <row r="637" spans="1:9">
      <c r="A637" s="496"/>
      <c r="B637" s="497"/>
      <c r="C637" s="498"/>
      <c r="D637" s="498"/>
      <c r="E637" s="498"/>
      <c r="F637" s="499"/>
      <c r="G637" s="500"/>
      <c r="H637" s="275"/>
      <c r="I637" s="482"/>
    </row>
    <row r="638" spans="1:9">
      <c r="A638" s="465" t="s">
        <v>1191</v>
      </c>
      <c r="B638" s="485">
        <v>186.725</v>
      </c>
      <c r="C638" s="484"/>
      <c r="D638" s="484"/>
      <c r="E638" s="484"/>
      <c r="F638" s="485"/>
      <c r="G638" s="486"/>
      <c r="H638" s="275"/>
      <c r="I638" s="482"/>
    </row>
    <row r="639" spans="1:9">
      <c r="A639" s="470" t="s">
        <v>1192</v>
      </c>
      <c r="B639" s="471"/>
      <c r="C639" s="458" t="s">
        <v>1150</v>
      </c>
      <c r="D639" s="458">
        <f>B638*1.05</f>
        <v>196.06125</v>
      </c>
      <c r="E639" s="458"/>
      <c r="F639" s="473"/>
      <c r="G639" s="474">
        <f>ROUND((D639*11.11)/(1.44*1000),2)</f>
        <v>1.51</v>
      </c>
      <c r="H639" s="275"/>
      <c r="I639" s="482"/>
    </row>
    <row r="640" spans="1:9">
      <c r="A640" s="477"/>
      <c r="B640" s="478"/>
      <c r="C640" s="479"/>
      <c r="D640" s="479"/>
      <c r="E640" s="479"/>
      <c r="F640" s="480"/>
      <c r="G640" s="481"/>
      <c r="H640" s="275"/>
      <c r="I640" s="482"/>
    </row>
    <row r="641" spans="1:9">
      <c r="A641" s="465" t="s">
        <v>1193</v>
      </c>
      <c r="B641" s="485">
        <v>233.77</v>
      </c>
      <c r="C641" s="484"/>
      <c r="D641" s="484"/>
      <c r="E641" s="484"/>
      <c r="F641" s="485"/>
      <c r="G641" s="486"/>
      <c r="H641" s="275"/>
      <c r="I641" s="482"/>
    </row>
    <row r="642" spans="1:9">
      <c r="A642" s="470" t="s">
        <v>1194</v>
      </c>
      <c r="B642" s="471"/>
      <c r="C642" s="458" t="s">
        <v>1134</v>
      </c>
      <c r="D642" s="458">
        <f>442.22*B641*0.053</f>
        <v>5479.0217782</v>
      </c>
      <c r="E642" s="458"/>
      <c r="F642" s="473"/>
      <c r="G642" s="474">
        <f>ROUND(D642/1000,2)</f>
        <v>5.48</v>
      </c>
      <c r="H642" s="275"/>
      <c r="I642" s="482"/>
    </row>
    <row r="643" spans="1:9">
      <c r="A643" s="470" t="s">
        <v>1137</v>
      </c>
      <c r="B643" s="471"/>
      <c r="C643" s="458" t="s">
        <v>1138</v>
      </c>
      <c r="D643" s="458">
        <f>B641*1.54*0.053</f>
        <v>19.0803074</v>
      </c>
      <c r="E643" s="458"/>
      <c r="F643" s="473">
        <v>1.3</v>
      </c>
      <c r="G643" s="474">
        <f>F643*D643</f>
        <v>24.80439962</v>
      </c>
      <c r="H643" s="275"/>
      <c r="I643" s="482"/>
    </row>
    <row r="644" spans="1:9">
      <c r="A644" s="502"/>
      <c r="B644" s="503"/>
      <c r="C644" s="493"/>
      <c r="D644" s="493"/>
      <c r="E644" s="493"/>
      <c r="F644" s="494"/>
      <c r="G644" s="495"/>
      <c r="H644" s="275"/>
      <c r="I644" s="482"/>
    </row>
    <row r="645" spans="1:9">
      <c r="A645" s="465" t="s">
        <v>1195</v>
      </c>
      <c r="B645" s="485">
        <v>27.285</v>
      </c>
      <c r="C645" s="484"/>
      <c r="D645" s="484"/>
      <c r="E645" s="484"/>
      <c r="F645" s="485"/>
      <c r="G645" s="486"/>
      <c r="H645" s="275"/>
      <c r="I645" s="482"/>
    </row>
    <row r="646" spans="1:9">
      <c r="A646" s="470" t="s">
        <v>1196</v>
      </c>
      <c r="B646" s="471"/>
      <c r="C646" s="458" t="s">
        <v>1197</v>
      </c>
      <c r="D646" s="458">
        <f>42*B645</f>
        <v>1145.97</v>
      </c>
      <c r="E646" s="458"/>
      <c r="F646" s="473"/>
      <c r="G646" s="474">
        <f>ROUND(D646/1000,2)</f>
        <v>1.15</v>
      </c>
      <c r="H646" s="275"/>
      <c r="I646" s="482"/>
    </row>
    <row r="647" spans="1:9">
      <c r="A647" s="470" t="s">
        <v>1198</v>
      </c>
      <c r="B647" s="471"/>
      <c r="C647" s="458" t="s">
        <v>1199</v>
      </c>
      <c r="D647" s="458">
        <f>2*1.2*B645</f>
        <v>65.484</v>
      </c>
      <c r="E647" s="458"/>
      <c r="F647" s="473"/>
      <c r="G647" s="474">
        <f>ROUND(D647/1000,2)</f>
        <v>0.07</v>
      </c>
      <c r="H647" s="275"/>
      <c r="I647" s="482"/>
    </row>
    <row r="648" spans="1:9">
      <c r="A648" s="502"/>
      <c r="B648" s="503"/>
      <c r="C648" s="493"/>
      <c r="D648" s="493"/>
      <c r="E648" s="493"/>
      <c r="F648" s="494"/>
      <c r="G648" s="495"/>
      <c r="H648" s="275"/>
      <c r="I648" s="482"/>
    </row>
    <row r="649" spans="1:9">
      <c r="A649" s="465" t="s">
        <v>1200</v>
      </c>
      <c r="B649" s="485">
        <v>287.32</v>
      </c>
      <c r="C649" s="484"/>
      <c r="D649" s="484"/>
      <c r="E649" s="484"/>
      <c r="F649" s="485"/>
      <c r="G649" s="486"/>
      <c r="H649" s="275"/>
      <c r="I649" s="482"/>
    </row>
    <row r="650" spans="1:9">
      <c r="A650" s="470" t="s">
        <v>1201</v>
      </c>
      <c r="B650" s="471"/>
      <c r="C650" s="458" t="s">
        <v>1197</v>
      </c>
      <c r="D650" s="458">
        <f>4.31*B649</f>
        <v>1238.3492</v>
      </c>
      <c r="E650" s="458"/>
      <c r="F650" s="473"/>
      <c r="G650" s="474">
        <f>ROUND(D650/1000,2)</f>
        <v>1.24</v>
      </c>
      <c r="H650" s="275"/>
      <c r="I650" s="482"/>
    </row>
    <row r="651" spans="1:9">
      <c r="A651" s="470"/>
      <c r="B651" s="471"/>
      <c r="C651" s="458"/>
      <c r="D651" s="458"/>
      <c r="E651" s="458"/>
      <c r="F651" s="473"/>
      <c r="G651" s="474"/>
      <c r="H651" s="275"/>
      <c r="I651" s="482"/>
    </row>
    <row r="652" spans="1:9">
      <c r="A652" s="465" t="s">
        <v>1202</v>
      </c>
      <c r="B652" s="485">
        <v>19.5</v>
      </c>
      <c r="C652" s="484"/>
      <c r="D652" s="484"/>
      <c r="E652" s="484"/>
      <c r="F652" s="485"/>
      <c r="G652" s="486"/>
      <c r="H652" s="275"/>
      <c r="I652" s="482"/>
    </row>
    <row r="653" spans="1:9">
      <c r="A653" s="470" t="s">
        <v>1203</v>
      </c>
      <c r="B653" s="471"/>
      <c r="C653" s="458" t="s">
        <v>1197</v>
      </c>
      <c r="D653" s="458">
        <f>9.9*B652</f>
        <v>193.05</v>
      </c>
      <c r="E653" s="458"/>
      <c r="F653" s="473"/>
      <c r="G653" s="474">
        <f>ROUND(D653/1000,2)</f>
        <v>0.19</v>
      </c>
      <c r="H653" s="275"/>
      <c r="I653" s="482"/>
    </row>
    <row r="654" spans="1:9">
      <c r="A654" s="502"/>
      <c r="B654" s="503"/>
      <c r="C654" s="493"/>
      <c r="D654" s="493"/>
      <c r="E654" s="493"/>
      <c r="F654" s="494"/>
      <c r="G654" s="495"/>
      <c r="H654" s="275"/>
      <c r="I654" s="482"/>
    </row>
    <row r="655" spans="1:9">
      <c r="A655" s="465" t="s">
        <v>1165</v>
      </c>
      <c r="B655" s="485">
        <v>16.02</v>
      </c>
      <c r="C655" s="484"/>
      <c r="D655" s="484"/>
      <c r="E655" s="484"/>
      <c r="F655" s="484"/>
      <c r="G655" s="484"/>
      <c r="H655" s="275"/>
      <c r="I655" s="482"/>
    </row>
    <row r="656" ht="22.5" spans="1:9">
      <c r="A656" s="470" t="s">
        <v>1204</v>
      </c>
      <c r="B656" s="471"/>
      <c r="C656" s="473" t="s">
        <v>1205</v>
      </c>
      <c r="D656" s="458">
        <f>B655*0.53</f>
        <v>8.4906</v>
      </c>
      <c r="E656" s="458"/>
      <c r="F656" s="473">
        <v>1.5</v>
      </c>
      <c r="G656" s="474">
        <f>F656*D656</f>
        <v>12.7359</v>
      </c>
      <c r="H656" s="275"/>
      <c r="I656" s="482"/>
    </row>
    <row r="657" spans="1:9">
      <c r="A657" s="470" t="s">
        <v>1133</v>
      </c>
      <c r="B657" s="471"/>
      <c r="C657" s="458" t="s">
        <v>1134</v>
      </c>
      <c r="D657" s="458">
        <f>B655*0.7*212.12</f>
        <v>2378.71368</v>
      </c>
      <c r="E657" s="458"/>
      <c r="F657" s="473"/>
      <c r="G657" s="474">
        <f>ROUND(D657/1000,2)</f>
        <v>2.38</v>
      </c>
      <c r="H657" s="275"/>
      <c r="I657" s="482"/>
    </row>
    <row r="658" spans="1:9">
      <c r="A658" s="470" t="s">
        <v>1166</v>
      </c>
      <c r="B658" s="471"/>
      <c r="C658" s="458" t="s">
        <v>1167</v>
      </c>
      <c r="D658" s="458">
        <f>B655*0.7*0.579</f>
        <v>6.492906</v>
      </c>
      <c r="E658" s="458"/>
      <c r="F658" s="473">
        <v>1.36</v>
      </c>
      <c r="G658" s="474">
        <f>F658*D658</f>
        <v>8.83035216</v>
      </c>
      <c r="H658" s="275"/>
      <c r="I658" s="482"/>
    </row>
    <row r="659" spans="1:9">
      <c r="A659" s="470" t="s">
        <v>1137</v>
      </c>
      <c r="B659" s="471"/>
      <c r="C659" s="458" t="s">
        <v>1138</v>
      </c>
      <c r="D659" s="458">
        <f>B655*0.7*0.859</f>
        <v>9.632826</v>
      </c>
      <c r="E659" s="458"/>
      <c r="F659" s="473">
        <v>1.3</v>
      </c>
      <c r="G659" s="474">
        <f>F659*D659</f>
        <v>12.5226738</v>
      </c>
      <c r="H659" s="275"/>
      <c r="I659" s="482"/>
    </row>
    <row r="660" spans="1:9">
      <c r="A660" s="502"/>
      <c r="B660" s="503"/>
      <c r="C660" s="493"/>
      <c r="D660" s="493"/>
      <c r="E660" s="493"/>
      <c r="F660" s="494"/>
      <c r="G660" s="495"/>
      <c r="H660" s="275"/>
      <c r="I660" s="482"/>
    </row>
    <row r="661" spans="1:9">
      <c r="A661" s="465" t="s">
        <v>1206</v>
      </c>
      <c r="B661" s="485">
        <v>1944.03</v>
      </c>
      <c r="C661" s="484"/>
      <c r="D661" s="484"/>
      <c r="E661" s="484"/>
      <c r="F661" s="484"/>
      <c r="G661" s="484"/>
      <c r="H661" s="275"/>
      <c r="I661" s="482"/>
    </row>
    <row r="662" spans="1:9">
      <c r="A662" s="470" t="s">
        <v>1133</v>
      </c>
      <c r="B662" s="471"/>
      <c r="C662" s="458" t="s">
        <v>1134</v>
      </c>
      <c r="D662" s="458">
        <f>B661*0.0042*405.75</f>
        <v>3312.9187245</v>
      </c>
      <c r="E662" s="458"/>
      <c r="F662" s="473"/>
      <c r="G662" s="474">
        <f>ROUND(D662/1000,2)</f>
        <v>3.31</v>
      </c>
      <c r="H662" s="275"/>
      <c r="I662" s="482"/>
    </row>
    <row r="663" spans="1:9">
      <c r="A663" s="470" t="s">
        <v>1137</v>
      </c>
      <c r="B663" s="471"/>
      <c r="C663" s="458" t="s">
        <v>1138</v>
      </c>
      <c r="D663" s="458">
        <f>B661*0.0042*1.06</f>
        <v>8.65482156</v>
      </c>
      <c r="E663" s="458"/>
      <c r="F663" s="473">
        <v>1.3</v>
      </c>
      <c r="G663" s="474">
        <f>F663*D663</f>
        <v>11.251268028</v>
      </c>
      <c r="H663" s="275"/>
      <c r="I663" s="482"/>
    </row>
    <row r="664" spans="1:9">
      <c r="A664" s="470"/>
      <c r="B664" s="471"/>
      <c r="C664" s="458"/>
      <c r="D664" s="458"/>
      <c r="E664" s="458"/>
      <c r="F664" s="473"/>
      <c r="G664" s="474"/>
      <c r="H664" s="275"/>
      <c r="I664" s="482"/>
    </row>
    <row r="665" spans="1:9">
      <c r="A665" s="465" t="s">
        <v>1207</v>
      </c>
      <c r="B665" s="485">
        <v>9.4</v>
      </c>
      <c r="C665" s="484"/>
      <c r="D665" s="484"/>
      <c r="E665" s="484"/>
      <c r="F665" s="484"/>
      <c r="G665" s="484"/>
      <c r="H665" s="275"/>
      <c r="I665" s="482"/>
    </row>
    <row r="666" spans="1:9">
      <c r="A666" s="470"/>
      <c r="B666" s="471"/>
      <c r="C666" s="473"/>
      <c r="D666" s="458"/>
      <c r="E666" s="458"/>
      <c r="F666" s="473"/>
      <c r="G666" s="474"/>
      <c r="H666" s="275"/>
      <c r="I666" s="482"/>
    </row>
    <row r="667" spans="1:9">
      <c r="A667" s="470" t="s">
        <v>1133</v>
      </c>
      <c r="B667" s="471"/>
      <c r="C667" s="458" t="s">
        <v>1134</v>
      </c>
      <c r="D667" s="458">
        <f>B665*1.213*322.98</f>
        <v>3682.682556</v>
      </c>
      <c r="E667" s="458"/>
      <c r="F667" s="473"/>
      <c r="G667" s="474">
        <f>ROUND(D667/1000,2)</f>
        <v>3.68</v>
      </c>
      <c r="H667" s="275"/>
      <c r="I667" s="482"/>
    </row>
    <row r="668" spans="1:9">
      <c r="A668" s="470" t="s">
        <v>1166</v>
      </c>
      <c r="B668" s="471"/>
      <c r="C668" s="458" t="s">
        <v>1167</v>
      </c>
      <c r="D668" s="458">
        <f>B665*1.213*0.587</f>
        <v>6.6930914</v>
      </c>
      <c r="E668" s="458"/>
      <c r="F668" s="473">
        <v>1.36</v>
      </c>
      <c r="G668" s="474">
        <f>F668*D668</f>
        <v>9.102604304</v>
      </c>
      <c r="H668" s="275"/>
      <c r="I668" s="482"/>
    </row>
    <row r="669" spans="1:9">
      <c r="A669" s="470" t="s">
        <v>1137</v>
      </c>
      <c r="B669" s="471"/>
      <c r="C669" s="458" t="s">
        <v>1138</v>
      </c>
      <c r="D669" s="458">
        <f>B665*1.213*0.785</f>
        <v>8.950727</v>
      </c>
      <c r="E669" s="458"/>
      <c r="F669" s="473">
        <v>1.3</v>
      </c>
      <c r="G669" s="474">
        <f>F669*D669</f>
        <v>11.6359451</v>
      </c>
      <c r="H669" s="275"/>
      <c r="I669" s="482"/>
    </row>
    <row r="670" spans="1:9">
      <c r="A670" s="470"/>
      <c r="B670" s="471"/>
      <c r="C670" s="458"/>
      <c r="D670" s="458"/>
      <c r="E670" s="458"/>
      <c r="F670" s="473"/>
      <c r="G670" s="474"/>
      <c r="H670" s="275"/>
      <c r="I670" s="482"/>
    </row>
    <row r="671" spans="1:9">
      <c r="A671" s="465" t="s">
        <v>1208</v>
      </c>
      <c r="B671" s="485">
        <v>305.9</v>
      </c>
      <c r="C671" s="484"/>
      <c r="D671" s="484"/>
      <c r="E671" s="484"/>
      <c r="F671" s="484"/>
      <c r="G671" s="484"/>
      <c r="H671" s="275"/>
      <c r="I671" s="482"/>
    </row>
    <row r="672" spans="1:9">
      <c r="A672" s="470"/>
      <c r="B672" s="471"/>
      <c r="C672" s="473"/>
      <c r="D672" s="458"/>
      <c r="E672" s="458"/>
      <c r="F672" s="473"/>
      <c r="G672" s="474"/>
      <c r="H672" s="275"/>
      <c r="I672" s="482"/>
    </row>
    <row r="673" spans="1:9">
      <c r="A673" s="470" t="s">
        <v>1133</v>
      </c>
      <c r="B673" s="471"/>
      <c r="C673" s="458" t="s">
        <v>1134</v>
      </c>
      <c r="D673" s="458">
        <f>B671*0.0213*185.63</f>
        <v>1209.5038221</v>
      </c>
      <c r="E673" s="458"/>
      <c r="F673" s="473"/>
      <c r="G673" s="474">
        <f>ROUND(D673/1000,2)</f>
        <v>1.21</v>
      </c>
      <c r="H673" s="275"/>
      <c r="I673" s="482"/>
    </row>
    <row r="674" spans="1:9">
      <c r="A674" s="470" t="s">
        <v>1135</v>
      </c>
      <c r="B674" s="471"/>
      <c r="C674" s="458" t="s">
        <v>1136</v>
      </c>
      <c r="D674" s="458">
        <f>B671*0.0213*193.7</f>
        <v>1262.085279</v>
      </c>
      <c r="E674" s="458"/>
      <c r="F674" s="473"/>
      <c r="G674" s="474">
        <f>ROUND(D674/1000,2)</f>
        <v>1.26</v>
      </c>
      <c r="H674" s="275"/>
      <c r="I674" s="482"/>
    </row>
    <row r="675" spans="1:9">
      <c r="A675" s="470" t="s">
        <v>1137</v>
      </c>
      <c r="B675" s="471"/>
      <c r="C675" s="458" t="s">
        <v>1138</v>
      </c>
      <c r="D675" s="458">
        <f>B671*0.0213*1.29</f>
        <v>8.4052143</v>
      </c>
      <c r="E675" s="458"/>
      <c r="F675" s="473">
        <v>1.3</v>
      </c>
      <c r="G675" s="474">
        <f>F675*D675</f>
        <v>10.92677859</v>
      </c>
      <c r="H675" s="275"/>
      <c r="I675" s="482"/>
    </row>
    <row r="676" spans="1:9">
      <c r="A676" s="470"/>
      <c r="B676" s="471"/>
      <c r="C676" s="458"/>
      <c r="D676" s="458"/>
      <c r="E676" s="458"/>
      <c r="F676" s="473"/>
      <c r="G676" s="474"/>
      <c r="H676" s="275"/>
      <c r="I676" s="482"/>
    </row>
    <row r="677" spans="1:9">
      <c r="A677" s="465" t="s">
        <v>1209</v>
      </c>
      <c r="B677" s="485">
        <v>13.52</v>
      </c>
      <c r="C677" s="484"/>
      <c r="D677" s="484"/>
      <c r="E677" s="484"/>
      <c r="F677" s="484"/>
      <c r="G677" s="484"/>
      <c r="H677" s="275"/>
      <c r="I677" s="482"/>
    </row>
    <row r="678" spans="1:9">
      <c r="A678" s="470"/>
      <c r="B678" s="471"/>
      <c r="C678" s="473"/>
      <c r="D678" s="458"/>
      <c r="E678" s="458"/>
      <c r="F678" s="473"/>
      <c r="G678" s="474"/>
      <c r="H678" s="275"/>
      <c r="I678" s="482"/>
    </row>
    <row r="679" spans="1:9">
      <c r="A679" s="470" t="s">
        <v>1133</v>
      </c>
      <c r="B679" s="471"/>
      <c r="C679" s="458" t="s">
        <v>1134</v>
      </c>
      <c r="D679" s="458">
        <f>B677*322.98</f>
        <v>4366.6896</v>
      </c>
      <c r="E679" s="458"/>
      <c r="F679" s="473"/>
      <c r="G679" s="474">
        <f>ROUND(D679/1000,2)</f>
        <v>4.37</v>
      </c>
      <c r="H679" s="275"/>
      <c r="I679" s="482"/>
    </row>
    <row r="680" spans="1:9">
      <c r="A680" s="470" t="s">
        <v>1166</v>
      </c>
      <c r="B680" s="471"/>
      <c r="C680" s="458" t="s">
        <v>1167</v>
      </c>
      <c r="D680" s="458">
        <f>B677*0.587</f>
        <v>7.93624</v>
      </c>
      <c r="E680" s="458"/>
      <c r="F680" s="473">
        <v>1.36</v>
      </c>
      <c r="G680" s="474">
        <f>F680*D680</f>
        <v>10.7932864</v>
      </c>
      <c r="H680" s="275"/>
      <c r="I680" s="482"/>
    </row>
    <row r="681" spans="1:9">
      <c r="A681" s="470" t="s">
        <v>1137</v>
      </c>
      <c r="B681" s="471"/>
      <c r="C681" s="458" t="s">
        <v>1138</v>
      </c>
      <c r="D681" s="458">
        <f>B677*0.785</f>
        <v>10.6132</v>
      </c>
      <c r="E681" s="458"/>
      <c r="F681" s="473">
        <v>1.3</v>
      </c>
      <c r="G681" s="474">
        <f>F681*D681</f>
        <v>13.79716</v>
      </c>
      <c r="H681" s="275"/>
      <c r="I681" s="482"/>
    </row>
    <row r="682" spans="1:9">
      <c r="A682" s="470"/>
      <c r="B682" s="471"/>
      <c r="C682" s="458"/>
      <c r="D682" s="458"/>
      <c r="E682" s="458"/>
      <c r="F682" s="473"/>
      <c r="G682" s="474"/>
      <c r="H682" s="275"/>
      <c r="I682" s="482"/>
    </row>
    <row r="683" spans="1:9">
      <c r="A683" s="470"/>
      <c r="B683" s="471"/>
      <c r="C683" s="458"/>
      <c r="D683" s="458"/>
      <c r="E683" s="458"/>
      <c r="F683" s="473"/>
      <c r="G683" s="474"/>
      <c r="H683" s="275"/>
      <c r="I683" s="482"/>
    </row>
    <row r="684" spans="1:7">
      <c r="A684" s="463" t="s">
        <v>1210</v>
      </c>
      <c r="B684" s="471"/>
      <c r="C684" s="458">
        <v>870.72</v>
      </c>
      <c r="D684" s="458">
        <f>ROUND(C684,2)</f>
        <v>870.72</v>
      </c>
      <c r="E684" s="458"/>
      <c r="F684" s="473"/>
      <c r="G684" s="474">
        <f>D684/1000</f>
        <v>0.87072</v>
      </c>
    </row>
    <row r="685" spans="1:7">
      <c r="A685" s="463" t="s">
        <v>1211</v>
      </c>
      <c r="B685" s="471"/>
      <c r="C685" s="458">
        <v>727.28</v>
      </c>
      <c r="D685" s="458">
        <f t="shared" ref="D685:D688" si="23">ROUND(C685,2)</f>
        <v>727.28</v>
      </c>
      <c r="E685" s="458"/>
      <c r="F685" s="473"/>
      <c r="G685" s="474">
        <f t="shared" ref="G685:G687" si="24">D685/1000</f>
        <v>0.72728</v>
      </c>
    </row>
    <row r="686" spans="1:7">
      <c r="A686" s="463" t="s">
        <v>1212</v>
      </c>
      <c r="B686" s="471"/>
      <c r="C686" s="458">
        <v>889.36</v>
      </c>
      <c r="D686" s="458">
        <f t="shared" si="23"/>
        <v>889.36</v>
      </c>
      <c r="E686" s="458"/>
      <c r="F686" s="473"/>
      <c r="G686" s="474">
        <f t="shared" si="24"/>
        <v>0.88936</v>
      </c>
    </row>
    <row r="687" spans="1:7">
      <c r="A687" s="463" t="s">
        <v>1213</v>
      </c>
      <c r="B687" s="471"/>
      <c r="C687" s="458">
        <v>616.73</v>
      </c>
      <c r="D687" s="458">
        <f t="shared" si="23"/>
        <v>616.73</v>
      </c>
      <c r="E687" s="458"/>
      <c r="F687" s="473"/>
      <c r="G687" s="474">
        <f t="shared" si="24"/>
        <v>0.61673</v>
      </c>
    </row>
    <row r="688" spans="1:7">
      <c r="A688" s="463" t="s">
        <v>1214</v>
      </c>
      <c r="B688" s="473"/>
      <c r="C688" s="458">
        <v>897</v>
      </c>
      <c r="D688" s="458">
        <f t="shared" si="23"/>
        <v>897</v>
      </c>
      <c r="E688" s="458"/>
      <c r="F688" s="473"/>
      <c r="G688" s="474">
        <f>ROUND(D688/1000,2)</f>
        <v>0.9</v>
      </c>
    </row>
    <row r="689" spans="1:7">
      <c r="A689" s="477"/>
      <c r="B689" s="480"/>
      <c r="C689" s="479"/>
      <c r="D689" s="479"/>
      <c r="E689" s="479"/>
      <c r="F689" s="480"/>
      <c r="G689" s="481"/>
    </row>
    <row r="690" spans="1:7">
      <c r="A690" s="504"/>
      <c r="B690" s="505"/>
      <c r="C690" s="506"/>
      <c r="D690" s="507"/>
      <c r="E690" s="508" t="s">
        <v>734</v>
      </c>
      <c r="F690" s="509"/>
      <c r="G690" s="510">
        <f>SUM(G569:G689)</f>
        <v>647.57753890619</v>
      </c>
    </row>
    <row r="691" spans="1:7">
      <c r="A691" s="511"/>
      <c r="B691" s="512" t="s">
        <v>1215</v>
      </c>
      <c r="C691" s="513" t="s">
        <v>1216</v>
      </c>
      <c r="D691" s="514" t="s">
        <v>1217</v>
      </c>
      <c r="E691" s="513" t="s">
        <v>1218</v>
      </c>
      <c r="F691" s="515" t="s">
        <v>1219</v>
      </c>
      <c r="G691" s="515"/>
    </row>
    <row r="692" spans="1:7">
      <c r="A692" s="511" t="s">
        <v>1220</v>
      </c>
      <c r="B692" s="516">
        <v>72843</v>
      </c>
      <c r="C692" s="513">
        <f>G575+G587+G591+G592+G615+G616+G627+G628+G643+G658+G659+G663+G668+G669+G675+G680+G681+G582+G656</f>
        <v>448.370692802</v>
      </c>
      <c r="D692" s="514">
        <v>20</v>
      </c>
      <c r="E692" s="513">
        <f>C692*D692</f>
        <v>8967.41385604</v>
      </c>
      <c r="F692" s="515">
        <v>0.6</v>
      </c>
      <c r="G692" s="515">
        <f>ROUND(F692*E692,2)</f>
        <v>5380.45</v>
      </c>
    </row>
    <row r="693" spans="1:7">
      <c r="A693" s="511" t="s">
        <v>1221</v>
      </c>
      <c r="B693" s="516">
        <v>72840</v>
      </c>
      <c r="C693" s="513">
        <f>G690-C692</f>
        <v>199.206846104189</v>
      </c>
      <c r="D693" s="514">
        <v>125</v>
      </c>
      <c r="E693" s="513">
        <f>C693*D693</f>
        <v>24900.8557630237</v>
      </c>
      <c r="F693" s="515">
        <v>0.47</v>
      </c>
      <c r="G693" s="515">
        <f>ROUND(F693*E693,2)</f>
        <v>11703.4</v>
      </c>
    </row>
    <row r="694" spans="1:7">
      <c r="A694" s="504"/>
      <c r="B694" s="517"/>
      <c r="C694" s="506"/>
      <c r="D694" s="507"/>
      <c r="E694" s="506"/>
      <c r="F694" s="518"/>
      <c r="G694" s="518"/>
    </row>
    <row r="695" spans="1:7">
      <c r="A695" s="504"/>
      <c r="B695" s="517"/>
      <c r="C695" s="506"/>
      <c r="D695" s="507"/>
      <c r="E695" s="508" t="s">
        <v>1222</v>
      </c>
      <c r="F695" s="509"/>
      <c r="G695" s="510">
        <f>SUM(G692:G693)</f>
        <v>17083.85</v>
      </c>
    </row>
    <row r="696" spans="1:7">
      <c r="A696" s="504"/>
      <c r="B696" s="517"/>
      <c r="C696" s="506"/>
      <c r="D696" s="507"/>
      <c r="E696" s="506"/>
      <c r="F696" s="518"/>
      <c r="G696" s="518"/>
    </row>
  </sheetData>
  <mergeCells count="84">
    <mergeCell ref="A1:G1"/>
    <mergeCell ref="A3:G3"/>
    <mergeCell ref="A6:G6"/>
    <mergeCell ref="A12:G12"/>
    <mergeCell ref="A13:G13"/>
    <mergeCell ref="A30:G30"/>
    <mergeCell ref="A31:G31"/>
    <mergeCell ref="A32:G32"/>
    <mergeCell ref="C36:E36"/>
    <mergeCell ref="D42:F42"/>
    <mergeCell ref="D44:E44"/>
    <mergeCell ref="D45:E45"/>
    <mergeCell ref="D47:E47"/>
    <mergeCell ref="D51:E51"/>
    <mergeCell ref="D53:E53"/>
    <mergeCell ref="D54:E54"/>
    <mergeCell ref="D56:E56"/>
    <mergeCell ref="D62:E62"/>
    <mergeCell ref="A71:G71"/>
    <mergeCell ref="A93:G93"/>
    <mergeCell ref="A138:G138"/>
    <mergeCell ref="E161:F161"/>
    <mergeCell ref="E163:F163"/>
    <mergeCell ref="E175:F175"/>
    <mergeCell ref="E182:F182"/>
    <mergeCell ref="E189:F189"/>
    <mergeCell ref="A198:G198"/>
    <mergeCell ref="E233:F233"/>
    <mergeCell ref="E237:F237"/>
    <mergeCell ref="E240:F240"/>
    <mergeCell ref="A242:G242"/>
    <mergeCell ref="D244:E244"/>
    <mergeCell ref="E256:F256"/>
    <mergeCell ref="A290:D290"/>
    <mergeCell ref="E290:F290"/>
    <mergeCell ref="E294:F294"/>
    <mergeCell ref="E306:F306"/>
    <mergeCell ref="E313:F313"/>
    <mergeCell ref="A315:G315"/>
    <mergeCell ref="D316:E316"/>
    <mergeCell ref="A361:D361"/>
    <mergeCell ref="E361:F361"/>
    <mergeCell ref="A363:G363"/>
    <mergeCell ref="A390:F390"/>
    <mergeCell ref="E418:F418"/>
    <mergeCell ref="A420:G420"/>
    <mergeCell ref="A421:B421"/>
    <mergeCell ref="E440:F440"/>
    <mergeCell ref="A442:G442"/>
    <mergeCell ref="A450:G450"/>
    <mergeCell ref="C453:F453"/>
    <mergeCell ref="C456:F456"/>
    <mergeCell ref="C457:F457"/>
    <mergeCell ref="C459:F459"/>
    <mergeCell ref="C462:F462"/>
    <mergeCell ref="A466:G466"/>
    <mergeCell ref="A477:G477"/>
    <mergeCell ref="E485:F485"/>
    <mergeCell ref="E493:F493"/>
    <mergeCell ref="A494:G494"/>
    <mergeCell ref="E496:F496"/>
    <mergeCell ref="A497:G497"/>
    <mergeCell ref="E499:F499"/>
    <mergeCell ref="A500:G500"/>
    <mergeCell ref="A501:G501"/>
    <mergeCell ref="C503:F503"/>
    <mergeCell ref="C504:F504"/>
    <mergeCell ref="C505:F505"/>
    <mergeCell ref="A518:G518"/>
    <mergeCell ref="A519:G519"/>
    <mergeCell ref="A529:G529"/>
    <mergeCell ref="E536:F536"/>
    <mergeCell ref="A538:G538"/>
    <mergeCell ref="E543:F543"/>
    <mergeCell ref="A545:G545"/>
    <mergeCell ref="A550:G550"/>
    <mergeCell ref="A558:G558"/>
    <mergeCell ref="A566:G566"/>
    <mergeCell ref="E690:F690"/>
    <mergeCell ref="E695:F695"/>
    <mergeCell ref="A44:A45"/>
    <mergeCell ref="A53:A54"/>
    <mergeCell ref="A516:A517"/>
    <mergeCell ref="E569:E572"/>
  </mergeCells>
  <printOptions horizontalCentered="1"/>
  <pageMargins left="0.393055555555556" right="0" top="1.41666666666667" bottom="0.393055555555556" header="0" footer="0"/>
  <pageSetup paperSize="9" scale="88" orientation="portrait"/>
  <headerFooter>
    <oddHeader>&amp;C&amp;9&amp;G
DEFENSORIA PÚBLICA DO ESTADO DE RORAIMA
“Amazônia: Patrimônio dos brasileiros”
____________________________________________________________________________________________________</oddHeader>
    <oddFooter>&amp;C&amp;"Arial,Normal"&amp;9Página &amp;P de &amp;N</oddFooter>
  </headerFooter>
  <rowBreaks count="3" manualBreakCount="3">
    <brk id="262" max="6" man="1"/>
    <brk id="313" max="6" man="1"/>
    <brk id="599" max="6" man="1"/>
  </rowBreaks>
  <colBreaks count="1" manualBreakCount="1">
    <brk id="7" max="1048575" man="1"/>
  </colBreaks>
  <legacyDrawingHF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</sheetPr>
  <dimension ref="A1:J383"/>
  <sheetViews>
    <sheetView view="pageBreakPreview" zoomScale="85" zoomScaleNormal="100" zoomScaleSheetLayoutView="85" topLeftCell="A121" workbookViewId="0">
      <selection activeCell="A3" sqref="A3:F3"/>
    </sheetView>
  </sheetViews>
  <sheetFormatPr defaultColWidth="9" defaultRowHeight="15"/>
  <cols>
    <col min="1" max="1" width="13.7142857142857" style="134" customWidth="1"/>
    <col min="2" max="2" width="50.5714285714286" style="135" customWidth="1"/>
    <col min="3" max="3" width="6.85714285714286" style="135" customWidth="1"/>
    <col min="4" max="4" width="9.28571428571429" style="135" customWidth="1"/>
    <col min="5" max="5" width="9.42857142857143" style="135" customWidth="1"/>
    <col min="6" max="6" width="9.14285714285714" style="135" customWidth="1"/>
  </cols>
  <sheetData>
    <row r="1" ht="15.75" spans="1:10">
      <c r="A1" s="136" t="s">
        <v>1223</v>
      </c>
      <c r="B1" s="137"/>
      <c r="C1" s="137"/>
      <c r="D1" s="137"/>
      <c r="E1" s="137"/>
      <c r="F1" s="137"/>
      <c r="G1" s="138"/>
      <c r="H1" s="139"/>
      <c r="I1" s="139"/>
      <c r="J1" s="139"/>
    </row>
    <row r="2" ht="5.1" customHeight="1" spans="1:10">
      <c r="A2" s="140"/>
      <c r="B2" s="141"/>
      <c r="C2" s="141"/>
      <c r="D2" s="141"/>
      <c r="E2" s="141"/>
      <c r="F2" s="142"/>
      <c r="G2" s="139"/>
      <c r="H2" s="139"/>
      <c r="I2" s="139"/>
      <c r="J2" s="139"/>
    </row>
    <row r="3" ht="26.25" customHeight="1" spans="1:10">
      <c r="A3" s="143" t="str">
        <f>'PB III - Orçamento Sintetico'!A4:G4</f>
        <v>OBRA: CONSTRUÇÃO DA SEDE DA DEFENSORIA PÚBLICA DO ESTADO DE RORAIMA NO MUNICIPIO DO BONFIM - DPE/RR</v>
      </c>
      <c r="B3" s="144"/>
      <c r="C3" s="144"/>
      <c r="D3" s="144"/>
      <c r="E3" s="144"/>
      <c r="F3" s="144"/>
      <c r="G3" s="139"/>
      <c r="H3" s="139"/>
      <c r="I3" s="139"/>
      <c r="J3" s="139"/>
    </row>
    <row r="4" ht="5.1" customHeight="1" spans="1:10">
      <c r="A4" s="145"/>
      <c r="B4" s="146"/>
      <c r="C4" s="146"/>
      <c r="D4" s="146"/>
      <c r="E4" s="146"/>
      <c r="F4" s="147"/>
      <c r="G4" s="148"/>
      <c r="H4" s="139"/>
      <c r="I4" s="139"/>
      <c r="J4" s="139"/>
    </row>
    <row r="5" ht="4.5" customHeight="1" spans="1:10">
      <c r="A5" s="149"/>
      <c r="B5" s="150"/>
      <c r="C5" s="150"/>
      <c r="D5" s="150"/>
      <c r="E5" s="150"/>
      <c r="F5" s="151"/>
      <c r="G5" s="139"/>
      <c r="H5" s="139"/>
      <c r="I5" s="139"/>
      <c r="J5" s="139"/>
    </row>
    <row r="6" spans="1:6">
      <c r="A6" s="152" t="s">
        <v>2</v>
      </c>
      <c r="B6" s="153"/>
      <c r="C6" s="153"/>
      <c r="D6" s="153"/>
      <c r="E6" s="153"/>
      <c r="F6" s="153"/>
    </row>
    <row r="7" spans="1:6">
      <c r="A7" s="154"/>
      <c r="B7" s="155"/>
      <c r="C7" s="155"/>
      <c r="D7" s="155"/>
      <c r="E7" s="155"/>
      <c r="F7" s="155"/>
    </row>
    <row r="8" ht="24.95" customHeight="1" spans="1:8">
      <c r="A8" s="156" t="s">
        <v>789</v>
      </c>
      <c r="B8" s="157" t="s">
        <v>1224</v>
      </c>
      <c r="C8" s="158"/>
      <c r="D8" s="159"/>
      <c r="E8" s="160" t="s">
        <v>1225</v>
      </c>
      <c r="F8" s="160" t="s">
        <v>815</v>
      </c>
      <c r="H8" s="139" t="s">
        <v>1226</v>
      </c>
    </row>
    <row r="9" spans="1:6">
      <c r="A9" s="161" t="s">
        <v>1227</v>
      </c>
      <c r="B9" s="162" t="s">
        <v>895</v>
      </c>
      <c r="C9" s="162" t="s">
        <v>1228</v>
      </c>
      <c r="D9" s="162" t="s">
        <v>8</v>
      </c>
      <c r="E9" s="162" t="s">
        <v>9</v>
      </c>
      <c r="F9" s="162" t="s">
        <v>10</v>
      </c>
    </row>
    <row r="10" spans="1:6">
      <c r="A10" s="163">
        <v>88316</v>
      </c>
      <c r="B10" s="164" t="s">
        <v>1229</v>
      </c>
      <c r="C10" s="165" t="s">
        <v>1230</v>
      </c>
      <c r="D10" s="166">
        <v>24</v>
      </c>
      <c r="E10" s="167">
        <v>13.21</v>
      </c>
      <c r="F10" s="168">
        <f>ROUND(D10*E10,2)</f>
        <v>317.04</v>
      </c>
    </row>
    <row r="11" spans="1:6">
      <c r="A11" s="169"/>
      <c r="B11" s="170"/>
      <c r="C11" s="171"/>
      <c r="D11" s="172" t="s">
        <v>734</v>
      </c>
      <c r="E11" s="172"/>
      <c r="F11" s="173">
        <f>SUM(F10:F10)</f>
        <v>317.04</v>
      </c>
    </row>
    <row r="12" spans="1:6">
      <c r="A12" s="154"/>
      <c r="B12" s="155"/>
      <c r="C12" s="155"/>
      <c r="D12" s="155"/>
      <c r="E12" s="155"/>
      <c r="F12" s="155"/>
    </row>
    <row r="13" spans="1:6">
      <c r="A13" s="154"/>
      <c r="B13" s="155"/>
      <c r="C13" s="155"/>
      <c r="D13" s="155"/>
      <c r="E13" s="155"/>
      <c r="F13" s="155"/>
    </row>
    <row r="14" ht="24.75" customHeight="1" spans="1:6">
      <c r="A14" s="156" t="s">
        <v>766</v>
      </c>
      <c r="B14" s="157" t="s">
        <v>1231</v>
      </c>
      <c r="C14" s="158"/>
      <c r="D14" s="159"/>
      <c r="E14" s="160" t="s">
        <v>1225</v>
      </c>
      <c r="F14" s="160" t="s">
        <v>815</v>
      </c>
    </row>
    <row r="15" spans="1:6">
      <c r="A15" s="161" t="s">
        <v>1227</v>
      </c>
      <c r="B15" s="162" t="s">
        <v>895</v>
      </c>
      <c r="C15" s="162" t="s">
        <v>1228</v>
      </c>
      <c r="D15" s="162" t="s">
        <v>8</v>
      </c>
      <c r="E15" s="162" t="s">
        <v>9</v>
      </c>
      <c r="F15" s="162" t="s">
        <v>10</v>
      </c>
    </row>
    <row r="16" spans="1:6">
      <c r="A16" s="163">
        <v>88316</v>
      </c>
      <c r="B16" s="164" t="s">
        <v>1229</v>
      </c>
      <c r="C16" s="165" t="s">
        <v>1230</v>
      </c>
      <c r="D16" s="166">
        <v>2.93</v>
      </c>
      <c r="E16" s="167">
        <v>13.21</v>
      </c>
      <c r="F16" s="168">
        <f>ROUND(D16*E16,2)</f>
        <v>38.71</v>
      </c>
    </row>
    <row r="17" spans="1:6">
      <c r="A17" s="169"/>
      <c r="B17" s="170"/>
      <c r="C17" s="171"/>
      <c r="D17" s="172" t="s">
        <v>734</v>
      </c>
      <c r="E17" s="172"/>
      <c r="F17" s="173">
        <f>SUM(F16:F16)</f>
        <v>38.71</v>
      </c>
    </row>
    <row r="18" spans="1:6">
      <c r="A18" s="154"/>
      <c r="B18" s="155"/>
      <c r="C18" s="155"/>
      <c r="D18" s="155"/>
      <c r="E18" s="155"/>
      <c r="F18" s="155"/>
    </row>
    <row r="19" spans="1:6">
      <c r="A19" s="154"/>
      <c r="B19" s="155"/>
      <c r="C19" s="155"/>
      <c r="D19" s="155"/>
      <c r="E19" s="155"/>
      <c r="F19" s="155"/>
    </row>
    <row r="20" ht="29.25" customHeight="1" spans="1:6">
      <c r="A20" s="156" t="s">
        <v>289</v>
      </c>
      <c r="B20" s="157" t="s">
        <v>1232</v>
      </c>
      <c r="C20" s="158"/>
      <c r="D20" s="159"/>
      <c r="E20" s="160" t="s">
        <v>1225</v>
      </c>
      <c r="F20" s="160" t="s">
        <v>815</v>
      </c>
    </row>
    <row r="21" spans="1:6">
      <c r="A21" s="161" t="s">
        <v>1227</v>
      </c>
      <c r="B21" s="162" t="s">
        <v>895</v>
      </c>
      <c r="C21" s="162" t="s">
        <v>1228</v>
      </c>
      <c r="D21" s="162" t="s">
        <v>8</v>
      </c>
      <c r="E21" s="162" t="s">
        <v>9</v>
      </c>
      <c r="F21" s="162" t="s">
        <v>10</v>
      </c>
    </row>
    <row r="22" spans="1:6">
      <c r="A22" s="163">
        <v>88316</v>
      </c>
      <c r="B22" s="164" t="s">
        <v>1229</v>
      </c>
      <c r="C22" s="165" t="s">
        <v>1230</v>
      </c>
      <c r="D22" s="166">
        <v>1.7</v>
      </c>
      <c r="E22" s="167">
        <v>13.21</v>
      </c>
      <c r="F22" s="168">
        <f>ROUND(D22*E22,2)</f>
        <v>22.46</v>
      </c>
    </row>
    <row r="23" spans="1:6">
      <c r="A23" s="169"/>
      <c r="B23" s="170"/>
      <c r="C23" s="171"/>
      <c r="D23" s="172" t="s">
        <v>734</v>
      </c>
      <c r="E23" s="172"/>
      <c r="F23" s="173">
        <f>SUM(F22:F22)</f>
        <v>22.46</v>
      </c>
    </row>
    <row r="24" spans="1:6">
      <c r="A24" s="154"/>
      <c r="B24" s="155"/>
      <c r="C24" s="155"/>
      <c r="D24" s="155"/>
      <c r="E24" s="155"/>
      <c r="F24" s="155"/>
    </row>
    <row r="25" spans="1:6">
      <c r="A25" s="154"/>
      <c r="B25" s="155"/>
      <c r="C25" s="155"/>
      <c r="D25" s="155"/>
      <c r="E25" s="155"/>
      <c r="F25" s="155"/>
    </row>
    <row r="26" ht="53.25" customHeight="1" spans="1:6">
      <c r="A26" s="156" t="s">
        <v>772</v>
      </c>
      <c r="B26" s="157" t="s">
        <v>1233</v>
      </c>
      <c r="C26" s="158"/>
      <c r="D26" s="159"/>
      <c r="E26" s="160" t="s">
        <v>1225</v>
      </c>
      <c r="F26" s="160" t="s">
        <v>1234</v>
      </c>
    </row>
    <row r="27" spans="1:6">
      <c r="A27" s="161" t="s">
        <v>1227</v>
      </c>
      <c r="B27" s="162" t="s">
        <v>895</v>
      </c>
      <c r="C27" s="162" t="s">
        <v>1228</v>
      </c>
      <c r="D27" s="162" t="s">
        <v>8</v>
      </c>
      <c r="E27" s="162" t="s">
        <v>9</v>
      </c>
      <c r="F27" s="162" t="s">
        <v>10</v>
      </c>
    </row>
    <row r="28" ht="76.5" spans="1:6">
      <c r="A28" s="163">
        <v>91314</v>
      </c>
      <c r="B28" s="164" t="s">
        <v>1235</v>
      </c>
      <c r="C28" s="165" t="s">
        <v>20</v>
      </c>
      <c r="D28" s="174">
        <v>2</v>
      </c>
      <c r="E28" s="167">
        <v>579.3</v>
      </c>
      <c r="F28" s="168">
        <f>ROUND(E28*D28,2)</f>
        <v>1158.6</v>
      </c>
    </row>
    <row r="29" spans="1:6">
      <c r="A29" s="175"/>
      <c r="B29" s="176"/>
      <c r="C29" s="176"/>
      <c r="D29" s="172" t="s">
        <v>734</v>
      </c>
      <c r="E29" s="172"/>
      <c r="F29" s="173">
        <f>SUM(F28:F28)</f>
        <v>1158.6</v>
      </c>
    </row>
    <row r="30" spans="1:6">
      <c r="A30" s="175"/>
      <c r="B30" s="176"/>
      <c r="C30" s="176"/>
      <c r="D30" s="176"/>
      <c r="E30" s="176"/>
      <c r="F30" s="176"/>
    </row>
    <row r="31" ht="25.5" spans="1:6">
      <c r="A31" s="156" t="s">
        <v>1236</v>
      </c>
      <c r="B31" s="157" t="s">
        <v>1237</v>
      </c>
      <c r="C31" s="158"/>
      <c r="D31" s="159"/>
      <c r="E31" s="160" t="s">
        <v>1238</v>
      </c>
      <c r="F31" s="160" t="s">
        <v>1228</v>
      </c>
    </row>
    <row r="32" spans="1:6">
      <c r="A32" s="161" t="s">
        <v>1227</v>
      </c>
      <c r="B32" s="162" t="s">
        <v>895</v>
      </c>
      <c r="C32" s="162" t="s">
        <v>1228</v>
      </c>
      <c r="D32" s="162" t="s">
        <v>8</v>
      </c>
      <c r="E32" s="162" t="s">
        <v>9</v>
      </c>
      <c r="F32" s="162" t="s">
        <v>10</v>
      </c>
    </row>
    <row r="33" spans="1:6">
      <c r="A33" s="177" t="s">
        <v>1239</v>
      </c>
      <c r="B33" s="178" t="s">
        <v>1240</v>
      </c>
      <c r="C33" s="179" t="s">
        <v>1241</v>
      </c>
      <c r="D33" s="180">
        <v>0.45</v>
      </c>
      <c r="E33" s="181">
        <v>16.96</v>
      </c>
      <c r="F33" s="181">
        <f>ROUND(D33*E33,2)</f>
        <v>7.63</v>
      </c>
    </row>
    <row r="34" ht="51" spans="1:6">
      <c r="A34" s="177" t="s">
        <v>1242</v>
      </c>
      <c r="B34" s="178" t="s">
        <v>1243</v>
      </c>
      <c r="C34" s="179" t="s">
        <v>1244</v>
      </c>
      <c r="D34" s="180">
        <v>2</v>
      </c>
      <c r="E34" s="181">
        <v>236.67</v>
      </c>
      <c r="F34" s="181">
        <f>ROUND(D34*E34,2)</f>
        <v>473.34</v>
      </c>
    </row>
    <row r="35" ht="25.5" spans="1:6">
      <c r="A35" s="177" t="s">
        <v>1245</v>
      </c>
      <c r="B35" s="178" t="s">
        <v>1246</v>
      </c>
      <c r="C35" s="182" t="s">
        <v>1247</v>
      </c>
      <c r="D35" s="180">
        <v>3.36</v>
      </c>
      <c r="E35" s="181">
        <v>183.98</v>
      </c>
      <c r="F35" s="181">
        <f>ROUND(D35*E35,2)</f>
        <v>618.17</v>
      </c>
    </row>
    <row r="36" spans="1:6">
      <c r="A36" s="177" t="s">
        <v>1248</v>
      </c>
      <c r="B36" s="178" t="s">
        <v>1249</v>
      </c>
      <c r="C36" s="179" t="s">
        <v>1228</v>
      </c>
      <c r="D36" s="180">
        <v>2</v>
      </c>
      <c r="E36" s="181">
        <v>706.27</v>
      </c>
      <c r="F36" s="181">
        <v>1412.54</v>
      </c>
    </row>
    <row r="37" ht="25.5" spans="1:6">
      <c r="A37" s="177" t="s">
        <v>1250</v>
      </c>
      <c r="B37" s="178" t="s">
        <v>1251</v>
      </c>
      <c r="C37" s="179" t="s">
        <v>1228</v>
      </c>
      <c r="D37" s="180">
        <v>2</v>
      </c>
      <c r="E37" s="181">
        <v>7.82</v>
      </c>
      <c r="F37" s="181">
        <f>ROUND(D37*E37,2)</f>
        <v>15.64</v>
      </c>
    </row>
    <row r="38" spans="1:6">
      <c r="A38" s="183"/>
      <c r="B38" s="184"/>
      <c r="C38" s="184"/>
      <c r="D38" s="172" t="s">
        <v>734</v>
      </c>
      <c r="E38" s="172"/>
      <c r="F38" s="173">
        <f>SUM(F33:F37)</f>
        <v>2527.32</v>
      </c>
    </row>
    <row r="39" spans="1:6">
      <c r="A39" s="175"/>
      <c r="B39" s="176"/>
      <c r="C39" s="176"/>
      <c r="D39" s="176"/>
      <c r="E39" s="176"/>
      <c r="F39" s="176"/>
    </row>
    <row r="40" ht="26.25" customHeight="1" spans="1:6">
      <c r="A40" s="156" t="s">
        <v>760</v>
      </c>
      <c r="B40" s="157" t="s">
        <v>1252</v>
      </c>
      <c r="C40" s="158"/>
      <c r="D40" s="159"/>
      <c r="E40" s="160" t="s">
        <v>1225</v>
      </c>
      <c r="F40" s="160" t="s">
        <v>1247</v>
      </c>
    </row>
    <row r="41" spans="1:6">
      <c r="A41" s="161" t="s">
        <v>1227</v>
      </c>
      <c r="B41" s="162" t="s">
        <v>895</v>
      </c>
      <c r="C41" s="162" t="s">
        <v>1228</v>
      </c>
      <c r="D41" s="162" t="s">
        <v>8</v>
      </c>
      <c r="E41" s="162" t="s">
        <v>9</v>
      </c>
      <c r="F41" s="162" t="s">
        <v>10</v>
      </c>
    </row>
    <row r="42" ht="25.5" spans="1:6">
      <c r="A42" s="185" t="str">
        <f>'PB VII - Cotação'!A109</f>
        <v>COTAÇÃO 026</v>
      </c>
      <c r="B42" s="186" t="s">
        <v>1253</v>
      </c>
      <c r="C42" s="187" t="s">
        <v>1247</v>
      </c>
      <c r="D42" s="188">
        <v>1</v>
      </c>
      <c r="E42" s="189">
        <f>'PB VII - Cotação'!F111</f>
        <v>83.96</v>
      </c>
      <c r="F42" s="168">
        <f>ROUND(D42*E42,2)</f>
        <v>83.96</v>
      </c>
    </row>
    <row r="43" spans="1:6">
      <c r="A43" s="169"/>
      <c r="B43" s="170"/>
      <c r="C43" s="171"/>
      <c r="D43" s="172" t="s">
        <v>734</v>
      </c>
      <c r="E43" s="172"/>
      <c r="F43" s="173">
        <f>SUM(F42:F42)</f>
        <v>83.96</v>
      </c>
    </row>
    <row r="44" spans="1:3">
      <c r="A44" s="190"/>
      <c r="B44" s="191"/>
      <c r="C44" s="192"/>
    </row>
    <row r="45" ht="27" customHeight="1" spans="1:7">
      <c r="A45" s="156" t="s">
        <v>769</v>
      </c>
      <c r="B45" s="157" t="s">
        <v>1254</v>
      </c>
      <c r="C45" s="158"/>
      <c r="D45" s="159"/>
      <c r="E45" s="160" t="s">
        <v>1225</v>
      </c>
      <c r="F45" s="160" t="s">
        <v>1255</v>
      </c>
      <c r="G45" t="s">
        <v>1256</v>
      </c>
    </row>
    <row r="46" spans="1:6">
      <c r="A46" s="161" t="s">
        <v>1227</v>
      </c>
      <c r="B46" s="162" t="s">
        <v>895</v>
      </c>
      <c r="C46" s="162" t="s">
        <v>1228</v>
      </c>
      <c r="D46" s="162" t="s">
        <v>8</v>
      </c>
      <c r="E46" s="162" t="s">
        <v>9</v>
      </c>
      <c r="F46" s="162" t="s">
        <v>10</v>
      </c>
    </row>
    <row r="47" spans="1:6">
      <c r="A47" s="163">
        <v>88316</v>
      </c>
      <c r="B47" s="164" t="s">
        <v>1257</v>
      </c>
      <c r="C47" s="165" t="s">
        <v>1230</v>
      </c>
      <c r="D47" s="166">
        <v>0.2</v>
      </c>
      <c r="E47" s="167">
        <v>13.21</v>
      </c>
      <c r="F47" s="168">
        <f>ROUND(D47*E47,2)</f>
        <v>2.64</v>
      </c>
    </row>
    <row r="48" spans="1:6">
      <c r="A48" s="163">
        <v>88309</v>
      </c>
      <c r="B48" s="164" t="s">
        <v>1258</v>
      </c>
      <c r="C48" s="165" t="s">
        <v>1230</v>
      </c>
      <c r="D48" s="166">
        <v>0.2</v>
      </c>
      <c r="E48" s="167">
        <v>18.99</v>
      </c>
      <c r="F48" s="168">
        <f>ROUND(D48*E48,2)</f>
        <v>3.8</v>
      </c>
    </row>
    <row r="49" spans="1:6">
      <c r="A49" s="185">
        <v>88245</v>
      </c>
      <c r="B49" s="186" t="s">
        <v>1259</v>
      </c>
      <c r="C49" s="187" t="s">
        <v>1230</v>
      </c>
      <c r="D49" s="188">
        <v>0.34</v>
      </c>
      <c r="E49" s="189">
        <v>18.89</v>
      </c>
      <c r="F49" s="168">
        <f t="shared" ref="F49:F50" si="0">ROUND(D49*E49,2)</f>
        <v>6.42</v>
      </c>
    </row>
    <row r="50" spans="1:6">
      <c r="A50" s="163">
        <v>4720</v>
      </c>
      <c r="B50" s="164" t="s">
        <v>1260</v>
      </c>
      <c r="C50" s="165" t="s">
        <v>23</v>
      </c>
      <c r="D50" s="166">
        <v>0.012</v>
      </c>
      <c r="E50" s="167">
        <v>108.53</v>
      </c>
      <c r="F50" s="168">
        <f t="shared" si="0"/>
        <v>1.3</v>
      </c>
    </row>
    <row r="51" spans="1:6">
      <c r="A51" s="163">
        <v>5063</v>
      </c>
      <c r="B51" s="164" t="s">
        <v>1261</v>
      </c>
      <c r="C51" s="165" t="s">
        <v>69</v>
      </c>
      <c r="D51" s="166">
        <v>0.035</v>
      </c>
      <c r="E51" s="167">
        <v>9.65</v>
      </c>
      <c r="F51" s="168">
        <f t="shared" ref="F51:F57" si="1">ROUND(D51*E51,2)</f>
        <v>0.34</v>
      </c>
    </row>
    <row r="52" spans="1:6">
      <c r="A52" s="163">
        <v>367</v>
      </c>
      <c r="B52" s="164" t="s">
        <v>1262</v>
      </c>
      <c r="C52" s="165" t="s">
        <v>23</v>
      </c>
      <c r="D52" s="166">
        <v>0.0035</v>
      </c>
      <c r="E52" s="167">
        <v>26.67</v>
      </c>
      <c r="F52" s="168">
        <f t="shared" si="1"/>
        <v>0.09</v>
      </c>
    </row>
    <row r="53" spans="1:6">
      <c r="A53" s="163">
        <v>1379</v>
      </c>
      <c r="B53" s="164" t="s">
        <v>1263</v>
      </c>
      <c r="C53" s="165" t="s">
        <v>69</v>
      </c>
      <c r="D53" s="166">
        <v>3.25</v>
      </c>
      <c r="E53" s="167">
        <v>0.74</v>
      </c>
      <c r="F53" s="168">
        <f t="shared" si="1"/>
        <v>2.41</v>
      </c>
    </row>
    <row r="54" spans="1:6">
      <c r="A54" s="163">
        <v>2692</v>
      </c>
      <c r="B54" s="164" t="s">
        <v>1264</v>
      </c>
      <c r="C54" s="165" t="s">
        <v>1265</v>
      </c>
      <c r="D54" s="166">
        <v>0.2</v>
      </c>
      <c r="E54" s="167">
        <v>7</v>
      </c>
      <c r="F54" s="168">
        <f t="shared" si="1"/>
        <v>1.4</v>
      </c>
    </row>
    <row r="55" spans="1:6">
      <c r="A55" s="163">
        <v>334</v>
      </c>
      <c r="B55" s="164" t="s">
        <v>1266</v>
      </c>
      <c r="C55" s="165" t="s">
        <v>69</v>
      </c>
      <c r="D55" s="166">
        <v>0.225</v>
      </c>
      <c r="E55" s="167">
        <v>10.93</v>
      </c>
      <c r="F55" s="168">
        <f t="shared" si="1"/>
        <v>2.46</v>
      </c>
    </row>
    <row r="56" spans="1:6">
      <c r="A56" s="163">
        <v>32</v>
      </c>
      <c r="B56" s="164" t="s">
        <v>1267</v>
      </c>
      <c r="C56" s="165" t="s">
        <v>69</v>
      </c>
      <c r="D56" s="166">
        <v>11.445</v>
      </c>
      <c r="E56" s="167">
        <v>4.19</v>
      </c>
      <c r="F56" s="168">
        <f t="shared" si="1"/>
        <v>47.95</v>
      </c>
    </row>
    <row r="57" spans="1:6">
      <c r="A57" s="163">
        <v>1346</v>
      </c>
      <c r="B57" s="164" t="s">
        <v>1268</v>
      </c>
      <c r="C57" s="165" t="s">
        <v>17</v>
      </c>
      <c r="D57" s="166">
        <v>0.35</v>
      </c>
      <c r="E57" s="167">
        <v>31.38</v>
      </c>
      <c r="F57" s="168">
        <f t="shared" si="1"/>
        <v>10.98</v>
      </c>
    </row>
    <row r="58" spans="1:6">
      <c r="A58" s="169"/>
      <c r="B58" s="170"/>
      <c r="C58" s="171"/>
      <c r="D58" s="172" t="s">
        <v>734</v>
      </c>
      <c r="E58" s="172"/>
      <c r="F58" s="173">
        <f>SUM(F47:F57)</f>
        <v>79.79</v>
      </c>
    </row>
    <row r="59" spans="1:3">
      <c r="A59" s="190"/>
      <c r="B59" s="191"/>
      <c r="C59" s="192"/>
    </row>
    <row r="60" ht="24" customHeight="1" spans="1:6">
      <c r="A60" s="156" t="s">
        <v>779</v>
      </c>
      <c r="B60" s="157" t="s">
        <v>1269</v>
      </c>
      <c r="C60" s="158"/>
      <c r="D60" s="159"/>
      <c r="E60" s="160" t="s">
        <v>1225</v>
      </c>
      <c r="F60" s="160" t="s">
        <v>815</v>
      </c>
    </row>
    <row r="61" spans="1:6">
      <c r="A61" s="161" t="s">
        <v>1227</v>
      </c>
      <c r="B61" s="162" t="s">
        <v>895</v>
      </c>
      <c r="C61" s="162" t="s">
        <v>1228</v>
      </c>
      <c r="D61" s="162" t="s">
        <v>8</v>
      </c>
      <c r="E61" s="162" t="s">
        <v>9</v>
      </c>
      <c r="F61" s="162" t="s">
        <v>10</v>
      </c>
    </row>
    <row r="62" spans="1:6">
      <c r="A62" s="193">
        <v>10431</v>
      </c>
      <c r="B62" s="164" t="s">
        <v>1270</v>
      </c>
      <c r="C62" s="165" t="s">
        <v>20</v>
      </c>
      <c r="D62" s="166">
        <v>1</v>
      </c>
      <c r="E62" s="167">
        <v>137.1</v>
      </c>
      <c r="F62" s="168">
        <f>ROUND(D62*E62,2)</f>
        <v>137.1</v>
      </c>
    </row>
    <row r="63" ht="25.5" spans="1:6">
      <c r="A63" s="193" t="s">
        <v>1271</v>
      </c>
      <c r="B63" s="164" t="s">
        <v>1272</v>
      </c>
      <c r="C63" s="165" t="s">
        <v>69</v>
      </c>
      <c r="D63" s="166">
        <v>1.8</v>
      </c>
      <c r="E63" s="167">
        <v>0.49</v>
      </c>
      <c r="F63" s="168">
        <f t="shared" ref="F63:F73" si="2">ROUND(D63*E63,2)</f>
        <v>0.88</v>
      </c>
    </row>
    <row r="64" spans="1:6">
      <c r="A64" s="193" t="s">
        <v>1273</v>
      </c>
      <c r="B64" s="164" t="s">
        <v>1274</v>
      </c>
      <c r="C64" s="165" t="s">
        <v>69</v>
      </c>
      <c r="D64" s="166">
        <v>0.5</v>
      </c>
      <c r="E64" s="167">
        <v>4.36</v>
      </c>
      <c r="F64" s="168">
        <f t="shared" si="2"/>
        <v>2.18</v>
      </c>
    </row>
    <row r="65" spans="1:6">
      <c r="A65" s="193" t="s">
        <v>1275</v>
      </c>
      <c r="B65" s="164" t="s">
        <v>1276</v>
      </c>
      <c r="C65" s="165" t="s">
        <v>1277</v>
      </c>
      <c r="D65" s="166">
        <v>2</v>
      </c>
      <c r="E65" s="167">
        <v>168.89</v>
      </c>
      <c r="F65" s="168">
        <f t="shared" si="2"/>
        <v>337.78</v>
      </c>
    </row>
    <row r="66" spans="1:6">
      <c r="A66" s="193" t="s">
        <v>1278</v>
      </c>
      <c r="B66" s="164" t="s">
        <v>1279</v>
      </c>
      <c r="C66" s="165" t="s">
        <v>1277</v>
      </c>
      <c r="D66" s="166">
        <v>1</v>
      </c>
      <c r="E66" s="167">
        <v>28.81</v>
      </c>
      <c r="F66" s="168">
        <f t="shared" si="2"/>
        <v>28.81</v>
      </c>
    </row>
    <row r="67" spans="1:6">
      <c r="A67" s="193" t="s">
        <v>1280</v>
      </c>
      <c r="B67" s="164" t="s">
        <v>1281</v>
      </c>
      <c r="C67" s="165" t="s">
        <v>1277</v>
      </c>
      <c r="D67" s="166">
        <v>1</v>
      </c>
      <c r="E67" s="167">
        <v>102.97</v>
      </c>
      <c r="F67" s="168">
        <f t="shared" si="2"/>
        <v>102.97</v>
      </c>
    </row>
    <row r="68" spans="1:6">
      <c r="A68" s="193" t="s">
        <v>1282</v>
      </c>
      <c r="B68" s="164" t="s">
        <v>1283</v>
      </c>
      <c r="C68" s="165" t="s">
        <v>1277</v>
      </c>
      <c r="D68" s="166">
        <v>1</v>
      </c>
      <c r="E68" s="167">
        <v>3.33</v>
      </c>
      <c r="F68" s="168">
        <f t="shared" si="2"/>
        <v>3.33</v>
      </c>
    </row>
    <row r="69" spans="1:6">
      <c r="A69" s="193" t="s">
        <v>1284</v>
      </c>
      <c r="B69" s="164" t="s">
        <v>1285</v>
      </c>
      <c r="C69" s="165" t="s">
        <v>1277</v>
      </c>
      <c r="D69" s="166">
        <v>1</v>
      </c>
      <c r="E69" s="167">
        <v>114.8</v>
      </c>
      <c r="F69" s="168">
        <f t="shared" si="2"/>
        <v>114.8</v>
      </c>
    </row>
    <row r="70" spans="1:6">
      <c r="A70" s="193" t="s">
        <v>1286</v>
      </c>
      <c r="B70" s="164" t="s">
        <v>1287</v>
      </c>
      <c r="C70" s="165" t="s">
        <v>1277</v>
      </c>
      <c r="D70" s="166">
        <v>1</v>
      </c>
      <c r="E70" s="167">
        <v>28.7</v>
      </c>
      <c r="F70" s="168">
        <f t="shared" si="2"/>
        <v>28.7</v>
      </c>
    </row>
    <row r="71" ht="25.5" spans="1:6">
      <c r="A71" s="193" t="s">
        <v>1288</v>
      </c>
      <c r="B71" s="164" t="s">
        <v>1289</v>
      </c>
      <c r="C71" s="165" t="s">
        <v>1277</v>
      </c>
      <c r="D71" s="166">
        <v>2</v>
      </c>
      <c r="E71" s="167">
        <v>7.7</v>
      </c>
      <c r="F71" s="168">
        <f t="shared" si="2"/>
        <v>15.4</v>
      </c>
    </row>
    <row r="72" spans="1:6">
      <c r="A72" s="193">
        <v>88309</v>
      </c>
      <c r="B72" s="164" t="s">
        <v>1290</v>
      </c>
      <c r="C72" s="165" t="s">
        <v>1241</v>
      </c>
      <c r="D72" s="166">
        <v>1.1</v>
      </c>
      <c r="E72" s="167">
        <v>18.99</v>
      </c>
      <c r="F72" s="168">
        <f t="shared" si="2"/>
        <v>20.89</v>
      </c>
    </row>
    <row r="73" spans="1:6">
      <c r="A73" s="193">
        <v>88242</v>
      </c>
      <c r="B73" s="164" t="s">
        <v>1291</v>
      </c>
      <c r="C73" s="165" t="s">
        <v>1241</v>
      </c>
      <c r="D73" s="166">
        <v>1.1</v>
      </c>
      <c r="E73" s="167">
        <v>15.05</v>
      </c>
      <c r="F73" s="168">
        <f t="shared" si="2"/>
        <v>16.56</v>
      </c>
    </row>
    <row r="74" spans="1:6">
      <c r="A74" s="190"/>
      <c r="B74" s="191"/>
      <c r="C74" s="192"/>
      <c r="D74" s="172" t="s">
        <v>734</v>
      </c>
      <c r="E74" s="172"/>
      <c r="F74" s="173">
        <f>SUM(F62:F73)</f>
        <v>809.4</v>
      </c>
    </row>
    <row r="76" ht="27.75" customHeight="1" spans="1:6">
      <c r="A76" s="156" t="s">
        <v>782</v>
      </c>
      <c r="B76" s="157" t="s">
        <v>1292</v>
      </c>
      <c r="C76" s="158"/>
      <c r="D76" s="159"/>
      <c r="E76" s="160" t="s">
        <v>1225</v>
      </c>
      <c r="F76" s="160" t="s">
        <v>815</v>
      </c>
    </row>
    <row r="77" spans="1:6">
      <c r="A77" s="161" t="s">
        <v>1227</v>
      </c>
      <c r="B77" s="162" t="s">
        <v>895</v>
      </c>
      <c r="C77" s="162" t="s">
        <v>1228</v>
      </c>
      <c r="D77" s="162" t="s">
        <v>8</v>
      </c>
      <c r="E77" s="162" t="s">
        <v>9</v>
      </c>
      <c r="F77" s="162" t="s">
        <v>10</v>
      </c>
    </row>
    <row r="78" spans="1:6">
      <c r="A78" s="193">
        <v>10422</v>
      </c>
      <c r="B78" s="164" t="s">
        <v>1293</v>
      </c>
      <c r="C78" s="165" t="s">
        <v>17</v>
      </c>
      <c r="D78" s="166">
        <v>1</v>
      </c>
      <c r="E78" s="167">
        <v>225.17</v>
      </c>
      <c r="F78" s="168">
        <f>ROUND(D78*E78,2)</f>
        <v>225.17</v>
      </c>
    </row>
    <row r="79" spans="1:6">
      <c r="A79" s="193" t="s">
        <v>1294</v>
      </c>
      <c r="B79" s="164" t="s">
        <v>1295</v>
      </c>
      <c r="C79" s="165" t="s">
        <v>1277</v>
      </c>
      <c r="D79" s="166">
        <v>1</v>
      </c>
      <c r="E79" s="167">
        <v>18</v>
      </c>
      <c r="F79" s="168">
        <f t="shared" ref="F79:F86" si="3">ROUND(D79*E79,2)</f>
        <v>18</v>
      </c>
    </row>
    <row r="80" ht="25.5" spans="1:6">
      <c r="A80" s="193" t="s">
        <v>1271</v>
      </c>
      <c r="B80" s="164" t="s">
        <v>1272</v>
      </c>
      <c r="C80" s="165" t="s">
        <v>69</v>
      </c>
      <c r="D80" s="166">
        <v>2</v>
      </c>
      <c r="E80" s="167">
        <v>0.49</v>
      </c>
      <c r="F80" s="168">
        <f t="shared" si="3"/>
        <v>0.98</v>
      </c>
    </row>
    <row r="81" spans="1:6">
      <c r="A81" s="193" t="s">
        <v>1296</v>
      </c>
      <c r="B81" s="164" t="s">
        <v>1274</v>
      </c>
      <c r="C81" s="165" t="s">
        <v>69</v>
      </c>
      <c r="D81" s="166">
        <v>0.6</v>
      </c>
      <c r="E81" s="167">
        <v>4.36</v>
      </c>
      <c r="F81" s="168">
        <f t="shared" si="3"/>
        <v>2.62</v>
      </c>
    </row>
    <row r="82" spans="1:6">
      <c r="A82" s="193" t="s">
        <v>1297</v>
      </c>
      <c r="B82" s="164" t="s">
        <v>1298</v>
      </c>
      <c r="C82" s="165" t="s">
        <v>1277</v>
      </c>
      <c r="D82" s="166">
        <v>2</v>
      </c>
      <c r="E82" s="167">
        <v>200</v>
      </c>
      <c r="F82" s="168">
        <f t="shared" si="3"/>
        <v>400</v>
      </c>
    </row>
    <row r="83" spans="1:6">
      <c r="A83" s="193" t="s">
        <v>1278</v>
      </c>
      <c r="B83" s="164" t="s">
        <v>1279</v>
      </c>
      <c r="C83" s="165" t="s">
        <v>1277</v>
      </c>
      <c r="D83" s="166">
        <v>1</v>
      </c>
      <c r="E83" s="167">
        <v>28.81</v>
      </c>
      <c r="F83" s="168">
        <f t="shared" si="3"/>
        <v>28.81</v>
      </c>
    </row>
    <row r="84" ht="38.25" spans="1:6">
      <c r="A84" s="193" t="s">
        <v>1288</v>
      </c>
      <c r="B84" s="164" t="s">
        <v>1299</v>
      </c>
      <c r="C84" s="165" t="s">
        <v>1277</v>
      </c>
      <c r="D84" s="166">
        <v>2</v>
      </c>
      <c r="E84" s="167">
        <v>7.7</v>
      </c>
      <c r="F84" s="168">
        <f t="shared" si="3"/>
        <v>15.4</v>
      </c>
    </row>
    <row r="85" spans="1:6">
      <c r="A85" s="193">
        <v>88309</v>
      </c>
      <c r="B85" s="164" t="s">
        <v>1290</v>
      </c>
      <c r="C85" s="165" t="s">
        <v>1241</v>
      </c>
      <c r="D85" s="166">
        <v>1.5</v>
      </c>
      <c r="E85" s="167">
        <v>18.99</v>
      </c>
      <c r="F85" s="168">
        <f t="shared" si="3"/>
        <v>28.49</v>
      </c>
    </row>
    <row r="86" spans="1:6">
      <c r="A86" s="193">
        <v>88242</v>
      </c>
      <c r="B86" s="164" t="s">
        <v>1291</v>
      </c>
      <c r="C86" s="165" t="s">
        <v>1241</v>
      </c>
      <c r="D86" s="166">
        <v>1.5</v>
      </c>
      <c r="E86" s="167">
        <v>15.05</v>
      </c>
      <c r="F86" s="168">
        <f t="shared" si="3"/>
        <v>22.58</v>
      </c>
    </row>
    <row r="87" spans="1:6">
      <c r="A87" s="190"/>
      <c r="B87" s="191"/>
      <c r="C87" s="192"/>
      <c r="D87" s="172" t="s">
        <v>734</v>
      </c>
      <c r="E87" s="172"/>
      <c r="F87" s="173">
        <f>SUM(F78:F86)</f>
        <v>742.05</v>
      </c>
    </row>
    <row r="88" spans="1:6">
      <c r="A88" s="175"/>
      <c r="B88" s="176"/>
      <c r="C88" s="176"/>
      <c r="D88" s="176"/>
      <c r="E88" s="176"/>
      <c r="F88" s="176"/>
    </row>
    <row r="89" ht="24" customHeight="1" spans="1:6">
      <c r="A89" s="156" t="s">
        <v>768</v>
      </c>
      <c r="B89" s="157" t="s">
        <v>475</v>
      </c>
      <c r="C89" s="158"/>
      <c r="D89" s="159"/>
      <c r="E89" s="160" t="s">
        <v>1225</v>
      </c>
      <c r="F89" s="160" t="s">
        <v>95</v>
      </c>
    </row>
    <row r="90" spans="1:6">
      <c r="A90" s="161" t="s">
        <v>1227</v>
      </c>
      <c r="B90" s="162" t="s">
        <v>895</v>
      </c>
      <c r="C90" s="162" t="s">
        <v>1228</v>
      </c>
      <c r="D90" s="162" t="s">
        <v>8</v>
      </c>
      <c r="E90" s="162" t="s">
        <v>9</v>
      </c>
      <c r="F90" s="162" t="s">
        <v>10</v>
      </c>
    </row>
    <row r="91" ht="25.5" spans="1:6">
      <c r="A91" s="163">
        <v>142</v>
      </c>
      <c r="B91" s="164" t="s">
        <v>1300</v>
      </c>
      <c r="C91" s="165" t="s">
        <v>1301</v>
      </c>
      <c r="D91" s="166">
        <f>0.161*1.3</f>
        <v>0.2093</v>
      </c>
      <c r="E91" s="167">
        <v>35.57</v>
      </c>
      <c r="F91" s="168">
        <f>ROUND(D91*E91,2)</f>
        <v>7.44</v>
      </c>
    </row>
    <row r="92" spans="1:6">
      <c r="A92" s="163">
        <v>5061</v>
      </c>
      <c r="B92" s="164" t="s">
        <v>1302</v>
      </c>
      <c r="C92" s="165" t="s">
        <v>1303</v>
      </c>
      <c r="D92" s="166">
        <f>0.025*1.3</f>
        <v>0.0325</v>
      </c>
      <c r="E92" s="167">
        <v>7.95</v>
      </c>
      <c r="F92" s="168">
        <f t="shared" ref="F92:F99" si="4">ROUND(D92*E92,2)</f>
        <v>0.26</v>
      </c>
    </row>
    <row r="93" ht="25.5" spans="1:6">
      <c r="A93" s="163">
        <v>5104</v>
      </c>
      <c r="B93" s="164" t="s">
        <v>1304</v>
      </c>
      <c r="C93" s="165" t="s">
        <v>1303</v>
      </c>
      <c r="D93" s="166">
        <f>1.3*0.0049</f>
        <v>0.00637</v>
      </c>
      <c r="E93" s="167">
        <v>50.46</v>
      </c>
      <c r="F93" s="168">
        <f t="shared" si="4"/>
        <v>0.32</v>
      </c>
    </row>
    <row r="94" spans="1:6">
      <c r="A94" s="163">
        <v>13388</v>
      </c>
      <c r="B94" s="164" t="s">
        <v>1305</v>
      </c>
      <c r="C94" s="165" t="s">
        <v>1303</v>
      </c>
      <c r="D94" s="166">
        <f>0.18*1.3</f>
        <v>0.234</v>
      </c>
      <c r="E94" s="167">
        <v>58.39</v>
      </c>
      <c r="F94" s="168">
        <f t="shared" si="4"/>
        <v>13.66</v>
      </c>
    </row>
    <row r="95" ht="25.5" spans="1:6">
      <c r="A95" s="163">
        <v>40871</v>
      </c>
      <c r="B95" s="164" t="s">
        <v>1306</v>
      </c>
      <c r="C95" s="165" t="s">
        <v>1255</v>
      </c>
      <c r="D95" s="166">
        <v>1.05</v>
      </c>
      <c r="E95" s="167">
        <v>49.71</v>
      </c>
      <c r="F95" s="168">
        <f t="shared" si="4"/>
        <v>52.2</v>
      </c>
    </row>
    <row r="96" spans="1:6">
      <c r="A96" s="163">
        <v>88316</v>
      </c>
      <c r="B96" s="164" t="s">
        <v>1307</v>
      </c>
      <c r="C96" s="165" t="s">
        <v>1241</v>
      </c>
      <c r="D96" s="166">
        <v>0.633</v>
      </c>
      <c r="E96" s="167">
        <v>13.21</v>
      </c>
      <c r="F96" s="168">
        <f t="shared" si="4"/>
        <v>8.36</v>
      </c>
    </row>
    <row r="97" spans="1:6">
      <c r="A97" s="163">
        <v>88323</v>
      </c>
      <c r="B97" s="164" t="s">
        <v>1308</v>
      </c>
      <c r="C97" s="165" t="s">
        <v>1241</v>
      </c>
      <c r="D97" s="166">
        <v>0.539</v>
      </c>
      <c r="E97" s="167">
        <v>16.96</v>
      </c>
      <c r="F97" s="168">
        <f t="shared" si="4"/>
        <v>9.14</v>
      </c>
    </row>
    <row r="98" ht="38.25" spans="1:6">
      <c r="A98" s="163">
        <v>93281</v>
      </c>
      <c r="B98" s="164" t="s">
        <v>1309</v>
      </c>
      <c r="C98" s="165" t="s">
        <v>1310</v>
      </c>
      <c r="D98" s="166">
        <v>0.0132</v>
      </c>
      <c r="E98" s="167">
        <v>15.53</v>
      </c>
      <c r="F98" s="168">
        <f t="shared" si="4"/>
        <v>0.2</v>
      </c>
    </row>
    <row r="99" ht="38.25" spans="1:6">
      <c r="A99" s="163">
        <v>93282</v>
      </c>
      <c r="B99" s="164" t="s">
        <v>1311</v>
      </c>
      <c r="C99" s="165" t="s">
        <v>1312</v>
      </c>
      <c r="D99" s="166">
        <v>0.0183</v>
      </c>
      <c r="E99" s="167">
        <v>15.05</v>
      </c>
      <c r="F99" s="168">
        <f t="shared" si="4"/>
        <v>0.28</v>
      </c>
    </row>
    <row r="100" spans="1:6">
      <c r="A100" s="190"/>
      <c r="B100" s="191"/>
      <c r="C100" s="192"/>
      <c r="D100" s="172" t="s">
        <v>734</v>
      </c>
      <c r="E100" s="172"/>
      <c r="F100" s="173">
        <f>SUM(F91:F99)</f>
        <v>91.86</v>
      </c>
    </row>
    <row r="101" spans="1:6">
      <c r="A101" s="175"/>
      <c r="B101" s="176"/>
      <c r="C101" s="176"/>
      <c r="D101" s="176"/>
      <c r="E101" s="176"/>
      <c r="F101" s="176"/>
    </row>
    <row r="102" spans="1:6">
      <c r="A102" s="175"/>
      <c r="B102" s="176"/>
      <c r="C102" s="176"/>
      <c r="D102" s="176"/>
      <c r="E102" s="176"/>
      <c r="F102" s="176"/>
    </row>
    <row r="103" ht="28.5" customHeight="1" spans="1:6">
      <c r="A103" s="156" t="s">
        <v>774</v>
      </c>
      <c r="B103" s="157" t="s">
        <v>477</v>
      </c>
      <c r="C103" s="158"/>
      <c r="D103" s="159"/>
      <c r="E103" s="160" t="s">
        <v>1225</v>
      </c>
      <c r="F103" s="160" t="s">
        <v>95</v>
      </c>
    </row>
    <row r="104" spans="1:6">
      <c r="A104" s="161" t="s">
        <v>1227</v>
      </c>
      <c r="B104" s="162" t="s">
        <v>895</v>
      </c>
      <c r="C104" s="162" t="s">
        <v>1228</v>
      </c>
      <c r="D104" s="162" t="s">
        <v>8</v>
      </c>
      <c r="E104" s="162" t="s">
        <v>9</v>
      </c>
      <c r="F104" s="162" t="s">
        <v>10</v>
      </c>
    </row>
    <row r="105" ht="25.5" spans="1:6">
      <c r="A105" s="163">
        <v>142</v>
      </c>
      <c r="B105" s="164" t="s">
        <v>1300</v>
      </c>
      <c r="C105" s="165" t="s">
        <v>1301</v>
      </c>
      <c r="D105" s="166">
        <f>0.161*1.3</f>
        <v>0.2093</v>
      </c>
      <c r="E105" s="167">
        <v>35.57</v>
      </c>
      <c r="F105" s="168">
        <f>ROUND(D105*E105,2)</f>
        <v>7.44</v>
      </c>
    </row>
    <row r="106" spans="1:6">
      <c r="A106" s="163">
        <v>5061</v>
      </c>
      <c r="B106" s="164" t="s">
        <v>1302</v>
      </c>
      <c r="C106" s="165" t="s">
        <v>1303</v>
      </c>
      <c r="D106" s="166">
        <f>0.025*1.3</f>
        <v>0.0325</v>
      </c>
      <c r="E106" s="167">
        <v>7.95</v>
      </c>
      <c r="F106" s="168">
        <f t="shared" ref="F106:F113" si="5">ROUND(D106*E106,2)</f>
        <v>0.26</v>
      </c>
    </row>
    <row r="107" ht="25.5" spans="1:6">
      <c r="A107" s="163">
        <v>5104</v>
      </c>
      <c r="B107" s="164" t="s">
        <v>1304</v>
      </c>
      <c r="C107" s="165" t="s">
        <v>1303</v>
      </c>
      <c r="D107" s="166">
        <f>1.3*0.0049</f>
        <v>0.00637</v>
      </c>
      <c r="E107" s="167">
        <v>50.46</v>
      </c>
      <c r="F107" s="168">
        <f t="shared" si="5"/>
        <v>0.32</v>
      </c>
    </row>
    <row r="108" spans="1:6">
      <c r="A108" s="163">
        <v>13388</v>
      </c>
      <c r="B108" s="164" t="s">
        <v>1305</v>
      </c>
      <c r="C108" s="165" t="s">
        <v>1303</v>
      </c>
      <c r="D108" s="166">
        <f>0.18*1.3</f>
        <v>0.234</v>
      </c>
      <c r="E108" s="167">
        <v>58.39</v>
      </c>
      <c r="F108" s="168">
        <f t="shared" si="5"/>
        <v>13.66</v>
      </c>
    </row>
    <row r="109" ht="25.5" spans="1:6">
      <c r="A109" s="163" t="s">
        <v>1313</v>
      </c>
      <c r="B109" s="164" t="s">
        <v>1306</v>
      </c>
      <c r="C109" s="165" t="s">
        <v>1255</v>
      </c>
      <c r="D109" s="166">
        <v>1.05</v>
      </c>
      <c r="E109" s="167">
        <f>49.71+24.85</f>
        <v>74.56</v>
      </c>
      <c r="F109" s="168">
        <f t="shared" si="5"/>
        <v>78.29</v>
      </c>
    </row>
    <row r="110" spans="1:6">
      <c r="A110" s="163">
        <v>88316</v>
      </c>
      <c r="B110" s="164" t="s">
        <v>1307</v>
      </c>
      <c r="C110" s="165" t="s">
        <v>1241</v>
      </c>
      <c r="D110" s="166">
        <v>0.633</v>
      </c>
      <c r="E110" s="167">
        <v>13.21</v>
      </c>
      <c r="F110" s="168">
        <f t="shared" si="5"/>
        <v>8.36</v>
      </c>
    </row>
    <row r="111" spans="1:6">
      <c r="A111" s="163">
        <v>88323</v>
      </c>
      <c r="B111" s="164" t="s">
        <v>1308</v>
      </c>
      <c r="C111" s="165" t="s">
        <v>1241</v>
      </c>
      <c r="D111" s="166">
        <v>0.539</v>
      </c>
      <c r="E111" s="167">
        <v>16.96</v>
      </c>
      <c r="F111" s="168">
        <f t="shared" si="5"/>
        <v>9.14</v>
      </c>
    </row>
    <row r="112" ht="38.25" spans="1:6">
      <c r="A112" s="163">
        <v>93281</v>
      </c>
      <c r="B112" s="164" t="s">
        <v>1309</v>
      </c>
      <c r="C112" s="165" t="s">
        <v>1310</v>
      </c>
      <c r="D112" s="166">
        <v>0.0132</v>
      </c>
      <c r="E112" s="167">
        <v>15.53</v>
      </c>
      <c r="F112" s="168">
        <f t="shared" si="5"/>
        <v>0.2</v>
      </c>
    </row>
    <row r="113" ht="38.25" spans="1:6">
      <c r="A113" s="163">
        <v>93282</v>
      </c>
      <c r="B113" s="164" t="s">
        <v>1311</v>
      </c>
      <c r="C113" s="165" t="s">
        <v>1312</v>
      </c>
      <c r="D113" s="166">
        <v>0.0183</v>
      </c>
      <c r="E113" s="167">
        <v>15.05</v>
      </c>
      <c r="F113" s="168">
        <f t="shared" si="5"/>
        <v>0.28</v>
      </c>
    </row>
    <row r="114" spans="1:6">
      <c r="A114" s="190"/>
      <c r="B114" s="191"/>
      <c r="C114" s="192"/>
      <c r="D114" s="172" t="s">
        <v>734</v>
      </c>
      <c r="E114" s="172"/>
      <c r="F114" s="173">
        <f>SUM(F105:F113)</f>
        <v>117.95</v>
      </c>
    </row>
    <row r="115" spans="1:6">
      <c r="A115" s="175"/>
      <c r="B115" s="176"/>
      <c r="C115" s="176"/>
      <c r="D115" s="176"/>
      <c r="E115" s="176"/>
      <c r="F115" s="176"/>
    </row>
    <row r="116" ht="23.25" customHeight="1" spans="1:6">
      <c r="A116" s="156" t="s">
        <v>786</v>
      </c>
      <c r="B116" s="157" t="s">
        <v>1314</v>
      </c>
      <c r="C116" s="158"/>
      <c r="D116" s="159"/>
      <c r="E116" s="160" t="s">
        <v>1225</v>
      </c>
      <c r="F116" s="160" t="s">
        <v>815</v>
      </c>
    </row>
    <row r="117" spans="1:6">
      <c r="A117" s="161" t="s">
        <v>1227</v>
      </c>
      <c r="B117" s="162" t="s">
        <v>895</v>
      </c>
      <c r="C117" s="162" t="s">
        <v>1228</v>
      </c>
      <c r="D117" s="162" t="s">
        <v>8</v>
      </c>
      <c r="E117" s="162" t="s">
        <v>9</v>
      </c>
      <c r="F117" s="162" t="s">
        <v>10</v>
      </c>
    </row>
    <row r="118" spans="1:6">
      <c r="A118" s="193" t="s">
        <v>1315</v>
      </c>
      <c r="B118" s="164" t="s">
        <v>1316</v>
      </c>
      <c r="C118" s="164" t="s">
        <v>1277</v>
      </c>
      <c r="D118" s="166">
        <v>1</v>
      </c>
      <c r="E118" s="167">
        <v>28</v>
      </c>
      <c r="F118" s="168">
        <f>ROUND(D118*E118,2)</f>
        <v>28</v>
      </c>
    </row>
    <row r="119" spans="1:6">
      <c r="A119" s="193">
        <v>21127</v>
      </c>
      <c r="B119" s="164" t="s">
        <v>1317</v>
      </c>
      <c r="C119" s="164" t="s">
        <v>1318</v>
      </c>
      <c r="D119" s="166">
        <v>0.1</v>
      </c>
      <c r="E119" s="167">
        <v>1.89</v>
      </c>
      <c r="F119" s="168">
        <v>0.19</v>
      </c>
    </row>
    <row r="120" spans="1:6">
      <c r="A120" s="193">
        <v>88264</v>
      </c>
      <c r="B120" s="164" t="s">
        <v>1319</v>
      </c>
      <c r="C120" s="164" t="s">
        <v>1241</v>
      </c>
      <c r="D120" s="166">
        <v>0.2</v>
      </c>
      <c r="E120" s="167">
        <v>19.18</v>
      </c>
      <c r="F120" s="168">
        <v>3.84</v>
      </c>
    </row>
    <row r="121" spans="1:6">
      <c r="A121" s="193">
        <v>88316</v>
      </c>
      <c r="B121" s="194" t="s">
        <v>1257</v>
      </c>
      <c r="C121" s="164" t="s">
        <v>1241</v>
      </c>
      <c r="D121" s="166">
        <v>0.2</v>
      </c>
      <c r="E121" s="167">
        <v>13.21</v>
      </c>
      <c r="F121" s="168">
        <f>ROUND(D121*E121,2)</f>
        <v>2.64</v>
      </c>
    </row>
    <row r="122" spans="1:6">
      <c r="A122" s="175"/>
      <c r="B122" s="176"/>
      <c r="C122" s="176"/>
      <c r="D122" s="172" t="s">
        <v>734</v>
      </c>
      <c r="E122" s="172"/>
      <c r="F122" s="173">
        <f>SUM(F118:F121)</f>
        <v>34.67</v>
      </c>
    </row>
    <row r="123" spans="1:6">
      <c r="A123" s="175"/>
      <c r="B123" s="176"/>
      <c r="C123" s="176"/>
      <c r="D123" s="176"/>
      <c r="E123" s="176"/>
      <c r="F123" s="176"/>
    </row>
    <row r="124" ht="24.75" customHeight="1" spans="1:6">
      <c r="A124" s="195" t="s">
        <v>762</v>
      </c>
      <c r="B124" s="196" t="s">
        <v>507</v>
      </c>
      <c r="C124" s="197"/>
      <c r="D124" s="198"/>
      <c r="E124" s="199" t="s">
        <v>1225</v>
      </c>
      <c r="F124" s="199" t="s">
        <v>815</v>
      </c>
    </row>
    <row r="125" spans="1:6">
      <c r="A125" s="200" t="s">
        <v>1227</v>
      </c>
      <c r="B125" s="201" t="s">
        <v>895</v>
      </c>
      <c r="C125" s="201" t="s">
        <v>1228</v>
      </c>
      <c r="D125" s="201" t="s">
        <v>8</v>
      </c>
      <c r="E125" s="201" t="s">
        <v>9</v>
      </c>
      <c r="F125" s="201" t="s">
        <v>10</v>
      </c>
    </row>
    <row r="126" spans="1:6">
      <c r="A126" s="202" t="str">
        <f>'PB VII - Cotação'!A7</f>
        <v>COTAÇÃO 001</v>
      </c>
      <c r="B126" s="194" t="s">
        <v>1320</v>
      </c>
      <c r="C126" s="187" t="s">
        <v>20</v>
      </c>
      <c r="D126" s="203">
        <v>1</v>
      </c>
      <c r="E126" s="168">
        <f>'PB VII - Cotação'!F9</f>
        <v>121.07</v>
      </c>
      <c r="F126" s="168">
        <f t="shared" ref="F126:F129" si="6">ROUND(D126*E126,2)</f>
        <v>121.07</v>
      </c>
    </row>
    <row r="127" spans="1:6">
      <c r="A127" s="202" t="str">
        <f>'PB VII - Cotação'!A15</f>
        <v>COTAÇÃO 003</v>
      </c>
      <c r="B127" s="194" t="s">
        <v>1321</v>
      </c>
      <c r="C127" s="187" t="s">
        <v>20</v>
      </c>
      <c r="D127" s="203">
        <v>2</v>
      </c>
      <c r="E127" s="168">
        <f>'PB VII - Cotação'!F17</f>
        <v>40.03</v>
      </c>
      <c r="F127" s="168">
        <f t="shared" si="6"/>
        <v>80.06</v>
      </c>
    </row>
    <row r="128" spans="1:6">
      <c r="A128" s="202">
        <v>88264</v>
      </c>
      <c r="B128" s="194" t="s">
        <v>1322</v>
      </c>
      <c r="C128" s="187" t="s">
        <v>1230</v>
      </c>
      <c r="D128" s="203">
        <v>1</v>
      </c>
      <c r="E128" s="194">
        <v>19.18</v>
      </c>
      <c r="F128" s="168">
        <f t="shared" si="6"/>
        <v>19.18</v>
      </c>
    </row>
    <row r="129" spans="1:6">
      <c r="A129" s="202">
        <v>88316</v>
      </c>
      <c r="B129" s="194" t="s">
        <v>1257</v>
      </c>
      <c r="C129" s="187" t="s">
        <v>1230</v>
      </c>
      <c r="D129" s="203">
        <v>1</v>
      </c>
      <c r="E129" s="194">
        <v>13.21</v>
      </c>
      <c r="F129" s="168">
        <f t="shared" si="6"/>
        <v>13.21</v>
      </c>
    </row>
    <row r="130" spans="1:6">
      <c r="A130" s="190"/>
      <c r="B130" s="191"/>
      <c r="C130" s="192"/>
      <c r="D130" s="204" t="s">
        <v>734</v>
      </c>
      <c r="E130" s="204"/>
      <c r="F130" s="205">
        <f>SUM(F126:F129)</f>
        <v>233.52</v>
      </c>
    </row>
    <row r="131" spans="1:6">
      <c r="A131" s="175"/>
      <c r="B131" s="176"/>
      <c r="C131" s="176"/>
      <c r="D131" s="176"/>
      <c r="E131" s="176"/>
      <c r="F131" s="176"/>
    </row>
    <row r="132" ht="29.1" customHeight="1" spans="1:6">
      <c r="A132" s="195" t="s">
        <v>773</v>
      </c>
      <c r="B132" s="196" t="s">
        <v>509</v>
      </c>
      <c r="C132" s="197"/>
      <c r="D132" s="198"/>
      <c r="E132" s="199" t="s">
        <v>1225</v>
      </c>
      <c r="F132" s="199" t="s">
        <v>815</v>
      </c>
    </row>
    <row r="133" spans="1:6">
      <c r="A133" s="200" t="s">
        <v>1227</v>
      </c>
      <c r="B133" s="201" t="s">
        <v>895</v>
      </c>
      <c r="C133" s="201" t="s">
        <v>1228</v>
      </c>
      <c r="D133" s="201" t="s">
        <v>8</v>
      </c>
      <c r="E133" s="201" t="s">
        <v>9</v>
      </c>
      <c r="F133" s="201" t="s">
        <v>10</v>
      </c>
    </row>
    <row r="134" spans="1:6">
      <c r="A134" s="202" t="str">
        <f>'PB VII - Cotação'!A11</f>
        <v>COTAÇÃO 002</v>
      </c>
      <c r="B134" s="194" t="s">
        <v>1323</v>
      </c>
      <c r="C134" s="187" t="s">
        <v>20</v>
      </c>
      <c r="D134" s="203">
        <v>1</v>
      </c>
      <c r="E134" s="168">
        <f>'PB VII - Cotação'!F13</f>
        <v>106.63</v>
      </c>
      <c r="F134" s="168">
        <f t="shared" ref="F134:F137" si="7">ROUND(D134*E134,2)</f>
        <v>106.63</v>
      </c>
    </row>
    <row r="135" spans="1:6">
      <c r="A135" s="202" t="str">
        <f>'PB VII - Cotação'!A15</f>
        <v>COTAÇÃO 003</v>
      </c>
      <c r="B135" s="194" t="s">
        <v>1321</v>
      </c>
      <c r="C135" s="187" t="s">
        <v>20</v>
      </c>
      <c r="D135" s="203">
        <v>2</v>
      </c>
      <c r="E135" s="168">
        <f>'PB VII - Cotação'!F17</f>
        <v>40.03</v>
      </c>
      <c r="F135" s="168">
        <f t="shared" si="7"/>
        <v>80.06</v>
      </c>
    </row>
    <row r="136" spans="1:6">
      <c r="A136" s="202">
        <v>88264</v>
      </c>
      <c r="B136" s="194" t="s">
        <v>1322</v>
      </c>
      <c r="C136" s="187" t="s">
        <v>1230</v>
      </c>
      <c r="D136" s="203">
        <v>1</v>
      </c>
      <c r="E136" s="194">
        <v>19.18</v>
      </c>
      <c r="F136" s="168">
        <f t="shared" si="7"/>
        <v>19.18</v>
      </c>
    </row>
    <row r="137" spans="1:6">
      <c r="A137" s="202">
        <v>88316</v>
      </c>
      <c r="B137" s="194" t="s">
        <v>1257</v>
      </c>
      <c r="C137" s="187" t="s">
        <v>1230</v>
      </c>
      <c r="D137" s="203">
        <v>1</v>
      </c>
      <c r="E137" s="194">
        <v>13.21</v>
      </c>
      <c r="F137" s="168">
        <f t="shared" si="7"/>
        <v>13.21</v>
      </c>
    </row>
    <row r="138" spans="1:6">
      <c r="A138" s="190"/>
      <c r="B138" s="191"/>
      <c r="C138" s="192"/>
      <c r="D138" s="204" t="s">
        <v>734</v>
      </c>
      <c r="E138" s="204"/>
      <c r="F138" s="205">
        <f>SUM(F134:F137)</f>
        <v>219.08</v>
      </c>
    </row>
    <row r="139" spans="1:6">
      <c r="A139" s="190"/>
      <c r="B139" s="176"/>
      <c r="C139" s="176"/>
      <c r="D139" s="176"/>
      <c r="E139" s="176"/>
      <c r="F139" s="176"/>
    </row>
    <row r="140" ht="27.75" customHeight="1" spans="1:6">
      <c r="A140" s="195" t="s">
        <v>775</v>
      </c>
      <c r="B140" s="196" t="s">
        <v>513</v>
      </c>
      <c r="C140" s="197"/>
      <c r="D140" s="198"/>
      <c r="E140" s="199" t="s">
        <v>1225</v>
      </c>
      <c r="F140" s="199" t="s">
        <v>815</v>
      </c>
    </row>
    <row r="141" spans="1:6">
      <c r="A141" s="200" t="s">
        <v>1227</v>
      </c>
      <c r="B141" s="201" t="s">
        <v>895</v>
      </c>
      <c r="C141" s="201" t="s">
        <v>1228</v>
      </c>
      <c r="D141" s="201" t="s">
        <v>8</v>
      </c>
      <c r="E141" s="201" t="s">
        <v>9</v>
      </c>
      <c r="F141" s="201" t="s">
        <v>10</v>
      </c>
    </row>
    <row r="142" ht="24" spans="1:6">
      <c r="A142" s="202" t="s">
        <v>1324</v>
      </c>
      <c r="B142" s="206" t="s">
        <v>1325</v>
      </c>
      <c r="C142" s="187" t="s">
        <v>20</v>
      </c>
      <c r="D142" s="203">
        <v>1</v>
      </c>
      <c r="E142" s="168">
        <v>1269.74</v>
      </c>
      <c r="F142" s="168">
        <f t="shared" ref="F142:F147" si="8">ROUND(D142*E142,2)</f>
        <v>1269.74</v>
      </c>
    </row>
    <row r="143" ht="48" spans="1:6">
      <c r="A143" s="202" t="s">
        <v>1326</v>
      </c>
      <c r="B143" s="206" t="s">
        <v>1327</v>
      </c>
      <c r="C143" s="187" t="s">
        <v>20</v>
      </c>
      <c r="D143" s="203">
        <v>1</v>
      </c>
      <c r="E143" s="168">
        <v>116.66</v>
      </c>
      <c r="F143" s="168">
        <f t="shared" si="8"/>
        <v>116.66</v>
      </c>
    </row>
    <row r="144" spans="1:6">
      <c r="A144" s="202">
        <v>39376</v>
      </c>
      <c r="B144" s="206" t="s">
        <v>1328</v>
      </c>
      <c r="C144" s="187" t="s">
        <v>20</v>
      </c>
      <c r="D144" s="203">
        <v>1</v>
      </c>
      <c r="E144" s="168">
        <v>19.55</v>
      </c>
      <c r="F144" s="168">
        <f t="shared" si="8"/>
        <v>19.55</v>
      </c>
    </row>
    <row r="145" ht="24" spans="1:6">
      <c r="A145" s="202">
        <v>39374</v>
      </c>
      <c r="B145" s="206" t="s">
        <v>1329</v>
      </c>
      <c r="C145" s="187" t="s">
        <v>20</v>
      </c>
      <c r="D145" s="203">
        <v>1</v>
      </c>
      <c r="E145" s="168">
        <v>79.2</v>
      </c>
      <c r="F145" s="168">
        <f t="shared" si="8"/>
        <v>79.2</v>
      </c>
    </row>
    <row r="146" spans="1:6">
      <c r="A146" s="202">
        <v>88264</v>
      </c>
      <c r="B146" s="206" t="s">
        <v>1322</v>
      </c>
      <c r="C146" s="187" t="s">
        <v>1230</v>
      </c>
      <c r="D146" s="203">
        <v>0.9</v>
      </c>
      <c r="E146" s="168">
        <v>19.18</v>
      </c>
      <c r="F146" s="168">
        <f t="shared" si="8"/>
        <v>17.26</v>
      </c>
    </row>
    <row r="147" spans="1:6">
      <c r="A147" s="202">
        <v>88247</v>
      </c>
      <c r="B147" s="206" t="s">
        <v>1330</v>
      </c>
      <c r="C147" s="187" t="s">
        <v>1230</v>
      </c>
      <c r="D147" s="203">
        <v>0.9</v>
      </c>
      <c r="E147" s="168">
        <v>15.57</v>
      </c>
      <c r="F147" s="168">
        <f t="shared" si="8"/>
        <v>14.01</v>
      </c>
    </row>
    <row r="148" spans="1:6">
      <c r="A148" s="190"/>
      <c r="B148" s="191"/>
      <c r="C148" s="192"/>
      <c r="D148" s="204" t="s">
        <v>734</v>
      </c>
      <c r="E148" s="204"/>
      <c r="F148" s="205">
        <f>SUM(F142:F147)</f>
        <v>1516.42</v>
      </c>
    </row>
    <row r="149" spans="1:6">
      <c r="A149" s="190"/>
      <c r="B149" s="176"/>
      <c r="C149" s="176"/>
      <c r="D149" s="176"/>
      <c r="E149" s="176"/>
      <c r="F149" s="176"/>
    </row>
    <row r="150" ht="27.75" customHeight="1" spans="1:6">
      <c r="A150" s="195" t="s">
        <v>763</v>
      </c>
      <c r="B150" s="196" t="s">
        <v>515</v>
      </c>
      <c r="C150" s="197"/>
      <c r="D150" s="198"/>
      <c r="E150" s="199" t="s">
        <v>1225</v>
      </c>
      <c r="F150" s="199" t="s">
        <v>815</v>
      </c>
    </row>
    <row r="151" spans="1:6">
      <c r="A151" s="200" t="s">
        <v>1227</v>
      </c>
      <c r="B151" s="201" t="s">
        <v>895</v>
      </c>
      <c r="C151" s="201" t="s">
        <v>1228</v>
      </c>
      <c r="D151" s="201" t="s">
        <v>8</v>
      </c>
      <c r="E151" s="201" t="s">
        <v>9</v>
      </c>
      <c r="F151" s="201" t="s">
        <v>10</v>
      </c>
    </row>
    <row r="152" ht="24" spans="1:6">
      <c r="A152" s="202" t="s">
        <v>1331</v>
      </c>
      <c r="B152" s="206" t="s">
        <v>1332</v>
      </c>
      <c r="C152" s="187" t="s">
        <v>20</v>
      </c>
      <c r="D152" s="203">
        <v>1</v>
      </c>
      <c r="E152" s="168">
        <v>1308.93</v>
      </c>
      <c r="F152" s="168">
        <f t="shared" ref="F152:F157" si="9">ROUND(D152*E152,2)</f>
        <v>1308.93</v>
      </c>
    </row>
    <row r="153" ht="48" spans="1:6">
      <c r="A153" s="202" t="s">
        <v>1326</v>
      </c>
      <c r="B153" s="206" t="s">
        <v>1327</v>
      </c>
      <c r="C153" s="187" t="s">
        <v>20</v>
      </c>
      <c r="D153" s="203">
        <v>2</v>
      </c>
      <c r="E153" s="168">
        <v>116.66</v>
      </c>
      <c r="F153" s="168">
        <f t="shared" si="9"/>
        <v>233.32</v>
      </c>
    </row>
    <row r="154" spans="1:6">
      <c r="A154" s="202">
        <v>39376</v>
      </c>
      <c r="B154" s="206" t="s">
        <v>1328</v>
      </c>
      <c r="C154" s="187" t="s">
        <v>20</v>
      </c>
      <c r="D154" s="203">
        <v>2</v>
      </c>
      <c r="E154" s="168">
        <v>19.55</v>
      </c>
      <c r="F154" s="168">
        <f t="shared" si="9"/>
        <v>39.1</v>
      </c>
    </row>
    <row r="155" ht="24" spans="1:6">
      <c r="A155" s="202">
        <v>39374</v>
      </c>
      <c r="B155" s="206" t="s">
        <v>1329</v>
      </c>
      <c r="C155" s="187" t="s">
        <v>20</v>
      </c>
      <c r="D155" s="203">
        <v>2</v>
      </c>
      <c r="E155" s="168">
        <v>79.2</v>
      </c>
      <c r="F155" s="168">
        <f t="shared" si="9"/>
        <v>158.4</v>
      </c>
    </row>
    <row r="156" spans="1:6">
      <c r="A156" s="202">
        <v>88264</v>
      </c>
      <c r="B156" s="206" t="s">
        <v>1322</v>
      </c>
      <c r="C156" s="187" t="s">
        <v>1230</v>
      </c>
      <c r="D156" s="203">
        <v>1.8</v>
      </c>
      <c r="E156" s="168">
        <v>19.18</v>
      </c>
      <c r="F156" s="168">
        <f t="shared" si="9"/>
        <v>34.52</v>
      </c>
    </row>
    <row r="157" spans="1:6">
      <c r="A157" s="202">
        <v>88247</v>
      </c>
      <c r="B157" s="206" t="s">
        <v>1330</v>
      </c>
      <c r="C157" s="187" t="s">
        <v>1230</v>
      </c>
      <c r="D157" s="203">
        <v>1.8</v>
      </c>
      <c r="E157" s="168">
        <v>15.57</v>
      </c>
      <c r="F157" s="168">
        <f t="shared" si="9"/>
        <v>28.03</v>
      </c>
    </row>
    <row r="158" spans="1:6">
      <c r="A158" s="190"/>
      <c r="B158" s="191"/>
      <c r="C158" s="192"/>
      <c r="D158" s="204" t="s">
        <v>734</v>
      </c>
      <c r="E158" s="204"/>
      <c r="F158" s="205">
        <f>SUM(F152:F157)</f>
        <v>1802.3</v>
      </c>
    </row>
    <row r="159" spans="1:6">
      <c r="A159" s="190"/>
      <c r="B159" s="176"/>
      <c r="C159" s="176"/>
      <c r="D159" s="176"/>
      <c r="E159" s="176"/>
      <c r="F159" s="176"/>
    </row>
    <row r="160" ht="27.75" customHeight="1" spans="1:6">
      <c r="A160" s="195" t="s">
        <v>785</v>
      </c>
      <c r="B160" s="196" t="s">
        <v>1333</v>
      </c>
      <c r="C160" s="197"/>
      <c r="D160" s="198"/>
      <c r="E160" s="199" t="s">
        <v>1225</v>
      </c>
      <c r="F160" s="199" t="s">
        <v>815</v>
      </c>
    </row>
    <row r="161" spans="1:6">
      <c r="A161" s="200" t="s">
        <v>1227</v>
      </c>
      <c r="B161" s="201" t="s">
        <v>895</v>
      </c>
      <c r="C161" s="201" t="s">
        <v>1228</v>
      </c>
      <c r="D161" s="201" t="s">
        <v>8</v>
      </c>
      <c r="E161" s="201" t="s">
        <v>9</v>
      </c>
      <c r="F161" s="201" t="s">
        <v>10</v>
      </c>
    </row>
    <row r="162" ht="25.5" spans="1:6">
      <c r="A162" s="202">
        <v>12001</v>
      </c>
      <c r="B162" s="194" t="s">
        <v>1334</v>
      </c>
      <c r="C162" s="187" t="s">
        <v>20</v>
      </c>
      <c r="D162" s="203">
        <v>1</v>
      </c>
      <c r="E162" s="168">
        <v>3.27</v>
      </c>
      <c r="F162" s="168">
        <f>ROUND(D162*E162,2)</f>
        <v>3.27</v>
      </c>
    </row>
    <row r="163" spans="1:6">
      <c r="A163" s="202">
        <v>88264</v>
      </c>
      <c r="B163" s="194" t="s">
        <v>1322</v>
      </c>
      <c r="C163" s="187" t="s">
        <v>1230</v>
      </c>
      <c r="D163" s="203">
        <v>0.143</v>
      </c>
      <c r="E163" s="194">
        <v>19.18</v>
      </c>
      <c r="F163" s="168">
        <f>ROUND(D163*E163,2)</f>
        <v>2.74</v>
      </c>
    </row>
    <row r="164" spans="1:6">
      <c r="A164" s="202">
        <v>88247</v>
      </c>
      <c r="B164" s="194" t="s">
        <v>1330</v>
      </c>
      <c r="C164" s="187" t="s">
        <v>1230</v>
      </c>
      <c r="D164" s="203">
        <v>0.143</v>
      </c>
      <c r="E164" s="194">
        <v>15.57</v>
      </c>
      <c r="F164" s="168">
        <f>ROUND(D164*E164,2)</f>
        <v>2.23</v>
      </c>
    </row>
    <row r="165" spans="1:6">
      <c r="A165" s="190"/>
      <c r="B165" s="176"/>
      <c r="C165" s="192"/>
      <c r="D165" s="204" t="s">
        <v>734</v>
      </c>
      <c r="E165" s="204"/>
      <c r="F165" s="205">
        <f>SUM(F162:F164)</f>
        <v>8.24</v>
      </c>
    </row>
    <row r="166" spans="1:6">
      <c r="A166" s="190"/>
      <c r="B166" s="176"/>
      <c r="C166" s="176"/>
      <c r="D166" s="176"/>
      <c r="E166" s="176"/>
      <c r="F166" s="176"/>
    </row>
    <row r="167" ht="27" customHeight="1" spans="1:6">
      <c r="A167" s="195" t="s">
        <v>798</v>
      </c>
      <c r="B167" s="196" t="s">
        <v>587</v>
      </c>
      <c r="C167" s="197"/>
      <c r="D167" s="198"/>
      <c r="E167" s="199" t="s">
        <v>1225</v>
      </c>
      <c r="F167" s="199" t="s">
        <v>815</v>
      </c>
    </row>
    <row r="168" spans="1:6">
      <c r="A168" s="200" t="s">
        <v>1227</v>
      </c>
      <c r="B168" s="201" t="s">
        <v>895</v>
      </c>
      <c r="C168" s="201" t="s">
        <v>1228</v>
      </c>
      <c r="D168" s="201" t="s">
        <v>8</v>
      </c>
      <c r="E168" s="201" t="s">
        <v>9</v>
      </c>
      <c r="F168" s="201" t="s">
        <v>10</v>
      </c>
    </row>
    <row r="169" ht="25.5" spans="1:6">
      <c r="A169" s="202">
        <v>3383</v>
      </c>
      <c r="B169" s="194" t="s">
        <v>1335</v>
      </c>
      <c r="C169" s="187" t="s">
        <v>20</v>
      </c>
      <c r="D169" s="203">
        <v>1</v>
      </c>
      <c r="E169" s="194">
        <v>18.7</v>
      </c>
      <c r="F169" s="168">
        <f>ROUND(D169*E169,2)</f>
        <v>18.7</v>
      </c>
    </row>
    <row r="170" ht="25.5" spans="1:6">
      <c r="A170" s="202">
        <v>425</v>
      </c>
      <c r="B170" s="194" t="s">
        <v>1336</v>
      </c>
      <c r="C170" s="187" t="s">
        <v>20</v>
      </c>
      <c r="D170" s="203">
        <v>1</v>
      </c>
      <c r="E170" s="168">
        <v>2.3</v>
      </c>
      <c r="F170" s="168">
        <f>ROUND(D170*E170,2)</f>
        <v>2.3</v>
      </c>
    </row>
    <row r="171" spans="1:6">
      <c r="A171" s="202">
        <v>88264</v>
      </c>
      <c r="B171" s="194" t="s">
        <v>1322</v>
      </c>
      <c r="C171" s="187" t="s">
        <v>1230</v>
      </c>
      <c r="D171" s="203">
        <v>0.4</v>
      </c>
      <c r="E171" s="194">
        <v>19.18</v>
      </c>
      <c r="F171" s="168">
        <f>ROUND(D171*E171,2)</f>
        <v>7.67</v>
      </c>
    </row>
    <row r="172" spans="1:6">
      <c r="A172" s="202">
        <v>88247</v>
      </c>
      <c r="B172" s="194" t="s">
        <v>1330</v>
      </c>
      <c r="C172" s="187" t="s">
        <v>1230</v>
      </c>
      <c r="D172" s="203">
        <v>0.4</v>
      </c>
      <c r="E172" s="194">
        <v>15.57</v>
      </c>
      <c r="F172" s="168">
        <f>ROUND(D172*E172,2)</f>
        <v>6.23</v>
      </c>
    </row>
    <row r="173" spans="1:6">
      <c r="A173" s="207"/>
      <c r="B173" s="191"/>
      <c r="C173" s="192"/>
      <c r="D173" s="204" t="s">
        <v>734</v>
      </c>
      <c r="E173" s="204"/>
      <c r="F173" s="205">
        <f>SUM(F169:F172)</f>
        <v>34.9</v>
      </c>
    </row>
    <row r="174" spans="1:6">
      <c r="A174" s="207"/>
      <c r="B174" s="191"/>
      <c r="C174" s="176"/>
      <c r="D174" s="176"/>
      <c r="E174" s="176"/>
      <c r="F174" s="176"/>
    </row>
    <row r="175" ht="30.95" customHeight="1" spans="1:6">
      <c r="A175" s="195" t="s">
        <v>780</v>
      </c>
      <c r="B175" s="196" t="s">
        <v>781</v>
      </c>
      <c r="C175" s="197"/>
      <c r="D175" s="198"/>
      <c r="E175" s="195" t="s">
        <v>1225</v>
      </c>
      <c r="F175" s="199" t="s">
        <v>815</v>
      </c>
    </row>
    <row r="176" spans="1:6">
      <c r="A176" s="195" t="s">
        <v>1227</v>
      </c>
      <c r="B176" s="195" t="s">
        <v>895</v>
      </c>
      <c r="C176" s="195" t="s">
        <v>1228</v>
      </c>
      <c r="D176" s="195" t="s">
        <v>8</v>
      </c>
      <c r="E176" s="195" t="s">
        <v>9</v>
      </c>
      <c r="F176" s="201" t="s">
        <v>10</v>
      </c>
    </row>
    <row r="177" ht="25.5" spans="1:6">
      <c r="A177" s="202">
        <v>34641</v>
      </c>
      <c r="B177" s="194" t="s">
        <v>1337</v>
      </c>
      <c r="C177" s="187" t="s">
        <v>20</v>
      </c>
      <c r="D177" s="208">
        <v>1</v>
      </c>
      <c r="E177" s="209">
        <v>68.66</v>
      </c>
      <c r="F177" s="168">
        <f>ROUND(D177*E177,2)</f>
        <v>68.66</v>
      </c>
    </row>
    <row r="178" spans="1:6">
      <c r="A178" s="202">
        <v>88316</v>
      </c>
      <c r="B178" s="194" t="s">
        <v>1257</v>
      </c>
      <c r="C178" s="187" t="s">
        <v>1230</v>
      </c>
      <c r="D178" s="208">
        <v>1.5</v>
      </c>
      <c r="E178" s="209">
        <v>13.21</v>
      </c>
      <c r="F178" s="168">
        <f>ROUND(D178*E178,2)</f>
        <v>19.82</v>
      </c>
    </row>
    <row r="179" spans="1:6">
      <c r="A179" s="207"/>
      <c r="B179" s="191"/>
      <c r="C179" s="192"/>
      <c r="D179" s="204" t="s">
        <v>734</v>
      </c>
      <c r="E179" s="204"/>
      <c r="F179" s="205">
        <f>SUM(F177:F178)</f>
        <v>88.48</v>
      </c>
    </row>
    <row r="180" spans="1:6">
      <c r="A180" s="207"/>
      <c r="B180" s="191"/>
      <c r="C180" s="176"/>
      <c r="D180" s="176"/>
      <c r="E180" s="176"/>
      <c r="F180" s="176"/>
    </row>
    <row r="181" ht="24.75" customHeight="1" spans="1:6">
      <c r="A181" s="195" t="s">
        <v>791</v>
      </c>
      <c r="B181" s="196" t="s">
        <v>611</v>
      </c>
      <c r="C181" s="197"/>
      <c r="D181" s="198"/>
      <c r="E181" s="199" t="s">
        <v>1225</v>
      </c>
      <c r="F181" s="199" t="s">
        <v>815</v>
      </c>
    </row>
    <row r="182" spans="1:6">
      <c r="A182" s="200" t="s">
        <v>1227</v>
      </c>
      <c r="B182" s="201" t="s">
        <v>895</v>
      </c>
      <c r="C182" s="201" t="s">
        <v>1228</v>
      </c>
      <c r="D182" s="201" t="s">
        <v>8</v>
      </c>
      <c r="E182" s="201" t="s">
        <v>9</v>
      </c>
      <c r="F182" s="201" t="s">
        <v>10</v>
      </c>
    </row>
    <row r="183" spans="1:6">
      <c r="A183" s="202" t="str">
        <f>'PB VII - Cotação'!A35</f>
        <v>COTAÇÃO 008</v>
      </c>
      <c r="B183" s="194" t="s">
        <v>1338</v>
      </c>
      <c r="C183" s="187" t="s">
        <v>20</v>
      </c>
      <c r="D183" s="203">
        <v>1</v>
      </c>
      <c r="E183" s="168">
        <f>'PB VII - Cotação'!F37</f>
        <v>96.88</v>
      </c>
      <c r="F183" s="168">
        <f t="shared" ref="F183:F186" si="10">ROUND(D183*E183,2)</f>
        <v>96.88</v>
      </c>
    </row>
    <row r="184" ht="25.5" spans="1:6">
      <c r="A184" s="202">
        <v>1579</v>
      </c>
      <c r="B184" s="194" t="s">
        <v>1339</v>
      </c>
      <c r="C184" s="187" t="s">
        <v>20</v>
      </c>
      <c r="D184" s="203">
        <v>6</v>
      </c>
      <c r="E184" s="168">
        <v>2.14</v>
      </c>
      <c r="F184" s="168">
        <f t="shared" si="10"/>
        <v>12.84</v>
      </c>
    </row>
    <row r="185" spans="1:6">
      <c r="A185" s="202">
        <v>88264</v>
      </c>
      <c r="B185" s="194" t="s">
        <v>1322</v>
      </c>
      <c r="C185" s="187" t="s">
        <v>1230</v>
      </c>
      <c r="D185" s="203">
        <v>0.27</v>
      </c>
      <c r="E185" s="194">
        <v>19.18</v>
      </c>
      <c r="F185" s="168">
        <f t="shared" si="10"/>
        <v>5.18</v>
      </c>
    </row>
    <row r="186" spans="1:6">
      <c r="A186" s="202">
        <v>88247</v>
      </c>
      <c r="B186" s="194" t="s">
        <v>1330</v>
      </c>
      <c r="C186" s="187" t="s">
        <v>1230</v>
      </c>
      <c r="D186" s="203">
        <v>0.27</v>
      </c>
      <c r="E186" s="194">
        <v>15.57</v>
      </c>
      <c r="F186" s="168">
        <f t="shared" si="10"/>
        <v>4.2</v>
      </c>
    </row>
    <row r="187" spans="1:6">
      <c r="A187" s="190"/>
      <c r="B187" s="176"/>
      <c r="C187" s="192"/>
      <c r="D187" s="204" t="s">
        <v>734</v>
      </c>
      <c r="E187" s="204"/>
      <c r="F187" s="205">
        <f>SUM(F183:F186)</f>
        <v>119.1</v>
      </c>
    </row>
    <row r="188" spans="1:6">
      <c r="A188" s="190"/>
      <c r="B188" s="176"/>
      <c r="C188" s="176"/>
      <c r="D188" s="176"/>
      <c r="E188" s="176"/>
      <c r="F188" s="176"/>
    </row>
    <row r="189" ht="25.5" customHeight="1" spans="1:6">
      <c r="A189" s="195" t="s">
        <v>1340</v>
      </c>
      <c r="B189" s="196" t="s">
        <v>613</v>
      </c>
      <c r="C189" s="197"/>
      <c r="D189" s="198"/>
      <c r="E189" s="199" t="s">
        <v>1225</v>
      </c>
      <c r="F189" s="199" t="s">
        <v>815</v>
      </c>
    </row>
    <row r="190" spans="1:6">
      <c r="A190" s="200" t="s">
        <v>1227</v>
      </c>
      <c r="B190" s="201" t="s">
        <v>895</v>
      </c>
      <c r="C190" s="201" t="s">
        <v>1228</v>
      </c>
      <c r="D190" s="201" t="s">
        <v>8</v>
      </c>
      <c r="E190" s="201" t="s">
        <v>9</v>
      </c>
      <c r="F190" s="201" t="s">
        <v>10</v>
      </c>
    </row>
    <row r="191" ht="25.5" spans="1:6">
      <c r="A191" s="202">
        <v>39446</v>
      </c>
      <c r="B191" s="194" t="s">
        <v>1341</v>
      </c>
      <c r="C191" s="187" t="s">
        <v>20</v>
      </c>
      <c r="D191" s="203">
        <v>1</v>
      </c>
      <c r="E191" s="168">
        <v>98.25</v>
      </c>
      <c r="F191" s="168">
        <f>ROUND(D191*E191,2)</f>
        <v>98.25</v>
      </c>
    </row>
    <row r="192" ht="25.5" spans="1:6">
      <c r="A192" s="202">
        <v>1571</v>
      </c>
      <c r="B192" s="194" t="s">
        <v>1342</v>
      </c>
      <c r="C192" s="187" t="s">
        <v>20</v>
      </c>
      <c r="D192" s="203">
        <v>2</v>
      </c>
      <c r="E192" s="168">
        <v>0.41</v>
      </c>
      <c r="F192" s="168">
        <f>ROUND(D192*E192,2)</f>
        <v>0.82</v>
      </c>
    </row>
    <row r="193" spans="1:6">
      <c r="A193" s="202">
        <v>88264</v>
      </c>
      <c r="B193" s="194" t="s">
        <v>1322</v>
      </c>
      <c r="C193" s="187" t="s">
        <v>1230</v>
      </c>
      <c r="D193" s="203">
        <v>0.27</v>
      </c>
      <c r="E193" s="194">
        <v>19.18</v>
      </c>
      <c r="F193" s="168">
        <v>5.18</v>
      </c>
    </row>
    <row r="194" spans="1:6">
      <c r="A194" s="202">
        <v>88247</v>
      </c>
      <c r="B194" s="194" t="s">
        <v>1330</v>
      </c>
      <c r="C194" s="187" t="s">
        <v>1230</v>
      </c>
      <c r="D194" s="203">
        <v>0.27</v>
      </c>
      <c r="E194" s="194">
        <v>15.57</v>
      </c>
      <c r="F194" s="168">
        <f>ROUND(D194*E194,2)</f>
        <v>4.2</v>
      </c>
    </row>
    <row r="195" spans="1:6">
      <c r="A195" s="190"/>
      <c r="B195" s="176"/>
      <c r="C195" s="192"/>
      <c r="D195" s="204" t="s">
        <v>734</v>
      </c>
      <c r="E195" s="204"/>
      <c r="F195" s="205">
        <f>SUM(F191:F194)</f>
        <v>108.45</v>
      </c>
    </row>
    <row r="196" spans="1:6">
      <c r="A196" s="190"/>
      <c r="B196" s="176"/>
      <c r="C196" s="176"/>
      <c r="D196" s="176"/>
      <c r="E196" s="176"/>
      <c r="F196" s="176"/>
    </row>
    <row r="197" ht="27.75" customHeight="1" spans="1:6">
      <c r="A197" s="195" t="s">
        <v>778</v>
      </c>
      <c r="B197" s="196" t="s">
        <v>615</v>
      </c>
      <c r="C197" s="197"/>
      <c r="D197" s="198"/>
      <c r="E197" s="199" t="s">
        <v>1225</v>
      </c>
      <c r="F197" s="199" t="s">
        <v>815</v>
      </c>
    </row>
    <row r="198" spans="1:6">
      <c r="A198" s="200" t="s">
        <v>1227</v>
      </c>
      <c r="B198" s="201" t="s">
        <v>895</v>
      </c>
      <c r="C198" s="201" t="s">
        <v>1228</v>
      </c>
      <c r="D198" s="201" t="s">
        <v>8</v>
      </c>
      <c r="E198" s="201" t="s">
        <v>9</v>
      </c>
      <c r="F198" s="201" t="s">
        <v>10</v>
      </c>
    </row>
    <row r="199" ht="25.5" spans="1:6">
      <c r="A199" s="202">
        <v>39467</v>
      </c>
      <c r="B199" s="194" t="s">
        <v>1343</v>
      </c>
      <c r="C199" s="187" t="s">
        <v>20</v>
      </c>
      <c r="D199" s="203">
        <v>1</v>
      </c>
      <c r="E199" s="168">
        <v>67.51</v>
      </c>
      <c r="F199" s="168">
        <f>ROUND(D199*E199,2)</f>
        <v>67.51</v>
      </c>
    </row>
    <row r="200" ht="25.5" spans="1:6">
      <c r="A200" s="202">
        <v>1571</v>
      </c>
      <c r="B200" s="194" t="s">
        <v>1342</v>
      </c>
      <c r="C200" s="187" t="s">
        <v>20</v>
      </c>
      <c r="D200" s="203">
        <v>1</v>
      </c>
      <c r="E200" s="168">
        <v>0.41</v>
      </c>
      <c r="F200" s="168">
        <f>ROUND(D200*E200,2)</f>
        <v>0.41</v>
      </c>
    </row>
    <row r="201" ht="25.5" spans="1:6">
      <c r="A201" s="202">
        <v>1579</v>
      </c>
      <c r="B201" s="194" t="s">
        <v>1339</v>
      </c>
      <c r="C201" s="187" t="s">
        <v>20</v>
      </c>
      <c r="D201" s="203">
        <v>1</v>
      </c>
      <c r="E201" s="168">
        <v>2.14</v>
      </c>
      <c r="F201" s="168">
        <f>ROUND(D201*E201,2)</f>
        <v>2.14</v>
      </c>
    </row>
    <row r="202" spans="1:6">
      <c r="A202" s="202">
        <v>88264</v>
      </c>
      <c r="B202" s="194" t="s">
        <v>1322</v>
      </c>
      <c r="C202" s="187" t="s">
        <v>1230</v>
      </c>
      <c r="D202" s="203">
        <v>0.066</v>
      </c>
      <c r="E202" s="194">
        <v>19.18</v>
      </c>
      <c r="F202" s="168">
        <f>ROUND(D202*E202,2)</f>
        <v>1.27</v>
      </c>
    </row>
    <row r="203" spans="1:6">
      <c r="A203" s="202">
        <v>88247</v>
      </c>
      <c r="B203" s="194" t="s">
        <v>1330</v>
      </c>
      <c r="C203" s="187" t="s">
        <v>1230</v>
      </c>
      <c r="D203" s="203">
        <v>0.066</v>
      </c>
      <c r="E203" s="194">
        <v>15.57</v>
      </c>
      <c r="F203" s="168">
        <f>ROUND(D203*E203,2)</f>
        <v>1.03</v>
      </c>
    </row>
    <row r="204" spans="1:6">
      <c r="A204" s="190"/>
      <c r="B204" s="176"/>
      <c r="C204" s="192"/>
      <c r="D204" s="204" t="s">
        <v>734</v>
      </c>
      <c r="E204" s="204"/>
      <c r="F204" s="205">
        <f>SUM(F199:F203)</f>
        <v>72.36</v>
      </c>
    </row>
    <row r="205" spans="1:6">
      <c r="A205" s="190"/>
      <c r="B205" s="176"/>
      <c r="C205" s="176"/>
      <c r="D205" s="176"/>
      <c r="E205" s="176"/>
      <c r="F205" s="176"/>
    </row>
    <row r="206" ht="27" customHeight="1" spans="1:6">
      <c r="A206" s="195" t="s">
        <v>776</v>
      </c>
      <c r="B206" s="196" t="s">
        <v>617</v>
      </c>
      <c r="C206" s="197"/>
      <c r="D206" s="198"/>
      <c r="E206" s="199" t="s">
        <v>1225</v>
      </c>
      <c r="F206" s="199" t="s">
        <v>815</v>
      </c>
    </row>
    <row r="207" spans="1:6">
      <c r="A207" s="200" t="s">
        <v>1227</v>
      </c>
      <c r="B207" s="201" t="s">
        <v>895</v>
      </c>
      <c r="C207" s="201" t="s">
        <v>1228</v>
      </c>
      <c r="D207" s="201" t="s">
        <v>8</v>
      </c>
      <c r="E207" s="201" t="s">
        <v>9</v>
      </c>
      <c r="F207" s="201" t="s">
        <v>10</v>
      </c>
    </row>
    <row r="208" ht="25.5" spans="1:6">
      <c r="A208" s="202">
        <v>4336</v>
      </c>
      <c r="B208" s="194" t="s">
        <v>1344</v>
      </c>
      <c r="C208" s="187" t="s">
        <v>20</v>
      </c>
      <c r="D208" s="194">
        <v>2</v>
      </c>
      <c r="E208" s="194">
        <v>2.42</v>
      </c>
      <c r="F208" s="168">
        <f>ROUND(D208*E208,2)</f>
        <v>4.84</v>
      </c>
    </row>
    <row r="209" ht="25.5" spans="1:6">
      <c r="A209" s="202">
        <v>379</v>
      </c>
      <c r="B209" s="194" t="s">
        <v>1345</v>
      </c>
      <c r="C209" s="187" t="s">
        <v>20</v>
      </c>
      <c r="D209" s="194">
        <v>2</v>
      </c>
      <c r="E209" s="194">
        <v>0.47</v>
      </c>
      <c r="F209" s="168">
        <f t="shared" ref="F209:F221" si="11">ROUND(D209*E209,2)</f>
        <v>0.94</v>
      </c>
    </row>
    <row r="210" ht="38.25" spans="1:6">
      <c r="A210" s="202">
        <v>995</v>
      </c>
      <c r="B210" s="194" t="s">
        <v>1346</v>
      </c>
      <c r="C210" s="187" t="s">
        <v>95</v>
      </c>
      <c r="D210" s="194">
        <v>3</v>
      </c>
      <c r="E210" s="194">
        <v>6.4</v>
      </c>
      <c r="F210" s="168">
        <f t="shared" si="11"/>
        <v>19.2</v>
      </c>
    </row>
    <row r="211" ht="38.25" spans="1:6">
      <c r="A211" s="202">
        <v>1019</v>
      </c>
      <c r="B211" s="194" t="s">
        <v>1347</v>
      </c>
      <c r="C211" s="187" t="s">
        <v>95</v>
      </c>
      <c r="D211" s="194">
        <v>24</v>
      </c>
      <c r="E211" s="194">
        <v>13.43</v>
      </c>
      <c r="F211" s="168">
        <f t="shared" si="11"/>
        <v>322.32</v>
      </c>
    </row>
    <row r="212" ht="25.5" spans="1:6">
      <c r="A212" s="202">
        <v>1091</v>
      </c>
      <c r="B212" s="194" t="s">
        <v>1348</v>
      </c>
      <c r="C212" s="187" t="s">
        <v>20</v>
      </c>
      <c r="D212" s="194">
        <v>1</v>
      </c>
      <c r="E212" s="194">
        <v>18.65</v>
      </c>
      <c r="F212" s="168">
        <f t="shared" si="11"/>
        <v>18.65</v>
      </c>
    </row>
    <row r="213" spans="1:6">
      <c r="A213" s="202" t="str">
        <f>'PB VII - Cotação'!A35</f>
        <v>COTAÇÃO 008</v>
      </c>
      <c r="B213" s="194" t="s">
        <v>1349</v>
      </c>
      <c r="C213" s="187" t="s">
        <v>20</v>
      </c>
      <c r="D213" s="194">
        <v>1</v>
      </c>
      <c r="E213" s="210">
        <f>'PB VII - Cotação'!F37</f>
        <v>96.88</v>
      </c>
      <c r="F213" s="168">
        <f t="shared" si="11"/>
        <v>96.88</v>
      </c>
    </row>
    <row r="214" spans="1:6">
      <c r="A214" s="202">
        <v>2680</v>
      </c>
      <c r="B214" s="194" t="s">
        <v>1350</v>
      </c>
      <c r="C214" s="187" t="s">
        <v>95</v>
      </c>
      <c r="D214" s="194">
        <v>9</v>
      </c>
      <c r="E214" s="194">
        <v>4.75</v>
      </c>
      <c r="F214" s="168">
        <f t="shared" si="11"/>
        <v>42.75</v>
      </c>
    </row>
    <row r="215" spans="1:6">
      <c r="A215" s="202">
        <v>1893</v>
      </c>
      <c r="B215" s="194" t="s">
        <v>1351</v>
      </c>
      <c r="C215" s="187" t="s">
        <v>20</v>
      </c>
      <c r="D215" s="194">
        <v>2</v>
      </c>
      <c r="E215" s="194">
        <v>1.89</v>
      </c>
      <c r="F215" s="168">
        <f t="shared" si="11"/>
        <v>3.78</v>
      </c>
    </row>
    <row r="216" ht="25.5" spans="1:6">
      <c r="A216" s="202">
        <v>3383</v>
      </c>
      <c r="B216" s="194" t="s">
        <v>1335</v>
      </c>
      <c r="C216" s="187" t="s">
        <v>20</v>
      </c>
      <c r="D216" s="194">
        <v>1</v>
      </c>
      <c r="E216" s="194">
        <v>18.7</v>
      </c>
      <c r="F216" s="168">
        <f t="shared" si="11"/>
        <v>18.7</v>
      </c>
    </row>
    <row r="217" ht="25.5" spans="1:6">
      <c r="A217" s="202">
        <v>3398</v>
      </c>
      <c r="B217" s="194" t="s">
        <v>1352</v>
      </c>
      <c r="C217" s="187" t="s">
        <v>20</v>
      </c>
      <c r="D217" s="194">
        <v>2</v>
      </c>
      <c r="E217" s="194">
        <v>2.95</v>
      </c>
      <c r="F217" s="168">
        <f t="shared" si="11"/>
        <v>5.9</v>
      </c>
    </row>
    <row r="218" spans="1:6">
      <c r="A218" s="202" t="str">
        <f>'PB VII - Cotação'!A39</f>
        <v>COTAÇÃO 009</v>
      </c>
      <c r="B218" s="194" t="s">
        <v>1353</v>
      </c>
      <c r="C218" s="187" t="s">
        <v>20</v>
      </c>
      <c r="D218" s="194">
        <v>1</v>
      </c>
      <c r="E218" s="210">
        <f>'PB VII - Cotação'!F41</f>
        <v>325</v>
      </c>
      <c r="F218" s="168">
        <f t="shared" si="11"/>
        <v>325</v>
      </c>
    </row>
    <row r="219" ht="25.5" spans="1:6">
      <c r="A219" s="202" t="str">
        <f>'PB VII - Cotação'!A43</f>
        <v>COTAÇÃO 010</v>
      </c>
      <c r="B219" s="194" t="s">
        <v>1354</v>
      </c>
      <c r="C219" s="187" t="s">
        <v>20</v>
      </c>
      <c r="D219" s="194">
        <v>1</v>
      </c>
      <c r="E219" s="210">
        <f>'PB VII - Cotação'!F45</f>
        <v>90.58</v>
      </c>
      <c r="F219" s="168">
        <f t="shared" si="11"/>
        <v>90.58</v>
      </c>
    </row>
    <row r="220" spans="1:6">
      <c r="A220" s="202">
        <v>88264</v>
      </c>
      <c r="B220" s="194" t="s">
        <v>1322</v>
      </c>
      <c r="C220" s="187" t="s">
        <v>1230</v>
      </c>
      <c r="D220" s="194">
        <v>6</v>
      </c>
      <c r="E220" s="194">
        <v>19.18</v>
      </c>
      <c r="F220" s="168">
        <f t="shared" si="11"/>
        <v>115.08</v>
      </c>
    </row>
    <row r="221" spans="1:6">
      <c r="A221" s="202">
        <v>88316</v>
      </c>
      <c r="B221" s="194" t="s">
        <v>1257</v>
      </c>
      <c r="C221" s="187" t="s">
        <v>1230</v>
      </c>
      <c r="D221" s="194">
        <v>6</v>
      </c>
      <c r="E221" s="194">
        <v>13.21</v>
      </c>
      <c r="F221" s="168">
        <f t="shared" si="11"/>
        <v>79.26</v>
      </c>
    </row>
    <row r="222" spans="1:6">
      <c r="A222" s="190"/>
      <c r="B222" s="191"/>
      <c r="C222" s="211"/>
      <c r="D222" s="212" t="s">
        <v>734</v>
      </c>
      <c r="E222" s="212"/>
      <c r="F222" s="213">
        <f>SUM(F208:F221)</f>
        <v>1143.88</v>
      </c>
    </row>
    <row r="224" ht="26.25" customHeight="1" spans="1:6">
      <c r="A224" s="214" t="s">
        <v>801</v>
      </c>
      <c r="B224" s="215" t="s">
        <v>1355</v>
      </c>
      <c r="C224" s="216"/>
      <c r="D224" s="217"/>
      <c r="E224" s="218" t="s">
        <v>1225</v>
      </c>
      <c r="F224" s="218" t="s">
        <v>815</v>
      </c>
    </row>
    <row r="225" spans="1:6">
      <c r="A225" s="219" t="s">
        <v>1227</v>
      </c>
      <c r="B225" s="220" t="s">
        <v>895</v>
      </c>
      <c r="C225" s="221" t="s">
        <v>1228</v>
      </c>
      <c r="D225" s="221" t="s">
        <v>8</v>
      </c>
      <c r="E225" s="221" t="s">
        <v>9</v>
      </c>
      <c r="F225" s="221" t="s">
        <v>10</v>
      </c>
    </row>
    <row r="226" ht="25.5" spans="1:6">
      <c r="A226" s="222">
        <v>91946</v>
      </c>
      <c r="B226" s="223" t="s">
        <v>1356</v>
      </c>
      <c r="C226" s="224" t="s">
        <v>20</v>
      </c>
      <c r="D226" s="225">
        <v>1</v>
      </c>
      <c r="E226" s="226">
        <v>4.84</v>
      </c>
      <c r="F226" s="227">
        <f>ROUND(D226*E226,2)</f>
        <v>4.84</v>
      </c>
    </row>
    <row r="227" spans="1:6">
      <c r="A227" s="228">
        <v>38104</v>
      </c>
      <c r="B227" s="223" t="s">
        <v>1357</v>
      </c>
      <c r="C227" s="224" t="s">
        <v>20</v>
      </c>
      <c r="D227" s="225">
        <v>1</v>
      </c>
      <c r="E227" s="229">
        <v>18.64</v>
      </c>
      <c r="F227" s="227">
        <f>ROUND(D227*E227,2)</f>
        <v>18.64</v>
      </c>
    </row>
    <row r="228" spans="4:6">
      <c r="D228" s="230" t="s">
        <v>734</v>
      </c>
      <c r="E228" s="230"/>
      <c r="F228" s="231">
        <f>SUM(F226:F227)</f>
        <v>23.48</v>
      </c>
    </row>
    <row r="230" ht="29.1" customHeight="1" spans="1:6">
      <c r="A230" s="214" t="s">
        <v>787</v>
      </c>
      <c r="B230" s="215" t="s">
        <v>624</v>
      </c>
      <c r="C230" s="216"/>
      <c r="D230" s="217"/>
      <c r="E230" s="218" t="s">
        <v>1225</v>
      </c>
      <c r="F230" s="218" t="s">
        <v>815</v>
      </c>
    </row>
    <row r="231" spans="1:6">
      <c r="A231" s="219" t="s">
        <v>1227</v>
      </c>
      <c r="B231" s="220" t="s">
        <v>895</v>
      </c>
      <c r="C231" s="221" t="s">
        <v>1228</v>
      </c>
      <c r="D231" s="221" t="s">
        <v>8</v>
      </c>
      <c r="E231" s="221" t="s">
        <v>9</v>
      </c>
      <c r="F231" s="221" t="s">
        <v>10</v>
      </c>
    </row>
    <row r="232" ht="25.5" spans="1:6">
      <c r="A232" s="222">
        <v>91947</v>
      </c>
      <c r="B232" s="223" t="s">
        <v>1358</v>
      </c>
      <c r="C232" s="224" t="s">
        <v>20</v>
      </c>
      <c r="D232" s="225">
        <v>1</v>
      </c>
      <c r="E232" s="226">
        <v>4.27</v>
      </c>
      <c r="F232" s="227">
        <f>ROUND(D232*E232,2)</f>
        <v>4.27</v>
      </c>
    </row>
    <row r="233" spans="1:6">
      <c r="A233" s="228">
        <v>38104</v>
      </c>
      <c r="B233" s="223" t="s">
        <v>1357</v>
      </c>
      <c r="C233" s="224" t="s">
        <v>20</v>
      </c>
      <c r="D233" s="225">
        <v>2</v>
      </c>
      <c r="E233" s="229">
        <v>18.64</v>
      </c>
      <c r="F233" s="227">
        <f>ROUND(D233*E233,2)</f>
        <v>37.28</v>
      </c>
    </row>
    <row r="234" spans="4:6">
      <c r="D234" s="230" t="s">
        <v>734</v>
      </c>
      <c r="E234" s="230"/>
      <c r="F234" s="231">
        <f>SUM(F232:F233)</f>
        <v>41.55</v>
      </c>
    </row>
    <row r="236" ht="25.5" customHeight="1" spans="1:6">
      <c r="A236" s="214" t="s">
        <v>790</v>
      </c>
      <c r="B236" s="215" t="s">
        <v>1359</v>
      </c>
      <c r="C236" s="216"/>
      <c r="D236" s="217"/>
      <c r="E236" s="218" t="s">
        <v>1225</v>
      </c>
      <c r="F236" s="218" t="s">
        <v>815</v>
      </c>
    </row>
    <row r="237" spans="1:6">
      <c r="A237" s="219" t="s">
        <v>1227</v>
      </c>
      <c r="B237" s="220" t="s">
        <v>895</v>
      </c>
      <c r="C237" s="221" t="s">
        <v>1228</v>
      </c>
      <c r="D237" s="221" t="s">
        <v>8</v>
      </c>
      <c r="E237" s="221" t="s">
        <v>9</v>
      </c>
      <c r="F237" s="221" t="s">
        <v>10</v>
      </c>
    </row>
    <row r="238" ht="25.5" spans="1:6">
      <c r="A238" s="222">
        <v>91951</v>
      </c>
      <c r="B238" s="223" t="s">
        <v>1360</v>
      </c>
      <c r="C238" s="224" t="s">
        <v>20</v>
      </c>
      <c r="D238" s="225">
        <v>1</v>
      </c>
      <c r="E238" s="232">
        <v>6.88</v>
      </c>
      <c r="F238" s="227">
        <f>ROUND(D238*E238,2)</f>
        <v>6.88</v>
      </c>
    </row>
    <row r="239" spans="1:6">
      <c r="A239" s="228">
        <v>38104</v>
      </c>
      <c r="B239" s="223" t="s">
        <v>1357</v>
      </c>
      <c r="C239" s="224" t="s">
        <v>20</v>
      </c>
      <c r="D239" s="225">
        <v>3</v>
      </c>
      <c r="E239" s="229">
        <v>18.64</v>
      </c>
      <c r="F239" s="227">
        <f>ROUND(D239*E239,2)</f>
        <v>55.92</v>
      </c>
    </row>
    <row r="240" spans="4:6">
      <c r="D240" s="230" t="s">
        <v>734</v>
      </c>
      <c r="E240" s="230"/>
      <c r="F240" s="231">
        <f>SUM(F238:F239)</f>
        <v>62.8</v>
      </c>
    </row>
    <row r="241" ht="14.25" customHeight="1"/>
    <row r="242" ht="27.75" customHeight="1" spans="1:6">
      <c r="A242" s="214" t="s">
        <v>788</v>
      </c>
      <c r="B242" s="215" t="s">
        <v>1361</v>
      </c>
      <c r="C242" s="216"/>
      <c r="D242" s="217"/>
      <c r="E242" s="218" t="s">
        <v>1225</v>
      </c>
      <c r="F242" s="218" t="s">
        <v>815</v>
      </c>
    </row>
    <row r="243" spans="1:6">
      <c r="A243" s="219" t="s">
        <v>1227</v>
      </c>
      <c r="B243" s="220" t="s">
        <v>895</v>
      </c>
      <c r="C243" s="221" t="s">
        <v>1228</v>
      </c>
      <c r="D243" s="221" t="s">
        <v>8</v>
      </c>
      <c r="E243" s="221" t="s">
        <v>9</v>
      </c>
      <c r="F243" s="221" t="s">
        <v>10</v>
      </c>
    </row>
    <row r="244" ht="25.5" spans="1:6">
      <c r="A244" s="222">
        <v>91951</v>
      </c>
      <c r="B244" s="223" t="s">
        <v>1360</v>
      </c>
      <c r="C244" s="224" t="s">
        <v>20</v>
      </c>
      <c r="D244" s="225">
        <v>1</v>
      </c>
      <c r="E244" s="232">
        <v>6.88</v>
      </c>
      <c r="F244" s="227">
        <f>ROUND(D244*E244,2)</f>
        <v>6.88</v>
      </c>
    </row>
    <row r="245" spans="1:6">
      <c r="A245" s="228">
        <v>38104</v>
      </c>
      <c r="B245" s="223" t="s">
        <v>1357</v>
      </c>
      <c r="C245" s="224" t="s">
        <v>20</v>
      </c>
      <c r="D245" s="225">
        <v>4</v>
      </c>
      <c r="E245" s="229">
        <v>18.64</v>
      </c>
      <c r="F245" s="227">
        <f>ROUND(D245*E245,2)</f>
        <v>74.56</v>
      </c>
    </row>
    <row r="246" spans="4:6">
      <c r="D246" s="230" t="s">
        <v>734</v>
      </c>
      <c r="E246" s="230"/>
      <c r="F246" s="231">
        <f>SUM(F244:F245)</f>
        <v>81.44</v>
      </c>
    </row>
    <row r="248" ht="30" customHeight="1" spans="1:6">
      <c r="A248" s="200" t="s">
        <v>797</v>
      </c>
      <c r="B248" s="215" t="s">
        <v>1362</v>
      </c>
      <c r="C248" s="216"/>
      <c r="D248" s="217"/>
      <c r="E248" s="218" t="s">
        <v>1225</v>
      </c>
      <c r="F248" s="218" t="s">
        <v>815</v>
      </c>
    </row>
    <row r="249" spans="1:6">
      <c r="A249" s="219" t="s">
        <v>1227</v>
      </c>
      <c r="B249" s="221" t="s">
        <v>895</v>
      </c>
      <c r="C249" s="221" t="s">
        <v>1228</v>
      </c>
      <c r="D249" s="221" t="s">
        <v>8</v>
      </c>
      <c r="E249" s="221" t="s">
        <v>9</v>
      </c>
      <c r="F249" s="221" t="s">
        <v>10</v>
      </c>
    </row>
    <row r="250" spans="1:6">
      <c r="A250" s="233">
        <v>88264</v>
      </c>
      <c r="B250" s="234" t="s">
        <v>1363</v>
      </c>
      <c r="C250" s="235" t="s">
        <v>1230</v>
      </c>
      <c r="D250" s="236">
        <v>0.183</v>
      </c>
      <c r="E250" s="237">
        <v>19.18</v>
      </c>
      <c r="F250" s="238">
        <f>ROUND(D250*E250,2)</f>
        <v>3.51</v>
      </c>
    </row>
    <row r="251" ht="25.5" spans="1:6">
      <c r="A251" s="185">
        <v>88247</v>
      </c>
      <c r="B251" s="194" t="s">
        <v>1364</v>
      </c>
      <c r="C251" s="187" t="s">
        <v>1230</v>
      </c>
      <c r="D251" s="239">
        <v>0.183</v>
      </c>
      <c r="E251" s="189">
        <v>15.57</v>
      </c>
      <c r="F251" s="238">
        <f t="shared" ref="F251:F256" si="12">ROUND(D251*E251,2)</f>
        <v>2.85</v>
      </c>
    </row>
    <row r="252" ht="25.5" spans="1:6">
      <c r="A252" s="185" t="str">
        <f>'PB VII - Cotação'!A52</f>
        <v>COTAÇÃO 012</v>
      </c>
      <c r="B252" s="194" t="s">
        <v>1365</v>
      </c>
      <c r="C252" s="187" t="s">
        <v>20</v>
      </c>
      <c r="D252" s="239">
        <v>1</v>
      </c>
      <c r="E252" s="189">
        <f>'PB VII - Cotação'!F54</f>
        <v>6.7</v>
      </c>
      <c r="F252" s="240">
        <f t="shared" si="12"/>
        <v>6.7</v>
      </c>
    </row>
    <row r="253" spans="1:6">
      <c r="A253" s="185" t="str">
        <f>'PB VII - Cotação'!A56</f>
        <v>COTAÇÃO 013</v>
      </c>
      <c r="B253" s="194" t="s">
        <v>1366</v>
      </c>
      <c r="C253" s="187" t="s">
        <v>20</v>
      </c>
      <c r="D253" s="239">
        <v>4</v>
      </c>
      <c r="E253" s="189">
        <f>'PB VII - Cotação'!F58</f>
        <v>0.61</v>
      </c>
      <c r="F253" s="240">
        <f t="shared" si="12"/>
        <v>2.44</v>
      </c>
    </row>
    <row r="254" spans="1:6">
      <c r="A254" s="185" t="str">
        <f>'PB VII - Cotação'!A60</f>
        <v>COTAÇÃO 014</v>
      </c>
      <c r="B254" s="194" t="s">
        <v>1367</v>
      </c>
      <c r="C254" s="187" t="s">
        <v>20</v>
      </c>
      <c r="D254" s="239">
        <v>16.8</v>
      </c>
      <c r="E254" s="189">
        <f>'PB VII - Cotação'!F62</f>
        <v>0.1</v>
      </c>
      <c r="F254" s="240">
        <f t="shared" si="12"/>
        <v>1.68</v>
      </c>
    </row>
    <row r="255" spans="1:6">
      <c r="A255" s="185" t="str">
        <f>'PB VII - Cotação'!A64</f>
        <v>COTAÇÃO 015</v>
      </c>
      <c r="B255" s="194" t="s">
        <v>1368</v>
      </c>
      <c r="C255" s="187" t="s">
        <v>20</v>
      </c>
      <c r="D255" s="239">
        <v>16.8</v>
      </c>
      <c r="E255" s="189">
        <f>'PB VII - Cotação'!F66</f>
        <v>0.16</v>
      </c>
      <c r="F255" s="240">
        <f t="shared" si="12"/>
        <v>2.69</v>
      </c>
    </row>
    <row r="256" spans="1:6">
      <c r="A256" s="185" t="str">
        <f>'PB VII - Cotação'!A68</f>
        <v>COTAÇÃO 016</v>
      </c>
      <c r="B256" s="194" t="s">
        <v>1369</v>
      </c>
      <c r="C256" s="187" t="s">
        <v>20</v>
      </c>
      <c r="D256" s="239">
        <v>16.8</v>
      </c>
      <c r="E256" s="189">
        <f>'PB VII - Cotação'!F70</f>
        <v>0.09</v>
      </c>
      <c r="F256" s="240">
        <f t="shared" si="12"/>
        <v>1.51</v>
      </c>
    </row>
    <row r="257" spans="4:6">
      <c r="D257" s="230" t="s">
        <v>734</v>
      </c>
      <c r="E257" s="230"/>
      <c r="F257" s="231">
        <f>SUM(F250:F256)</f>
        <v>21.38</v>
      </c>
    </row>
    <row r="259" ht="27" customHeight="1" spans="1:6">
      <c r="A259" s="200" t="s">
        <v>784</v>
      </c>
      <c r="B259" s="215" t="s">
        <v>632</v>
      </c>
      <c r="C259" s="216"/>
      <c r="D259" s="217"/>
      <c r="E259" s="218" t="s">
        <v>1225</v>
      </c>
      <c r="F259" s="218" t="s">
        <v>815</v>
      </c>
    </row>
    <row r="260" spans="1:6">
      <c r="A260" s="219" t="s">
        <v>1227</v>
      </c>
      <c r="B260" s="221" t="s">
        <v>895</v>
      </c>
      <c r="C260" s="221" t="s">
        <v>1228</v>
      </c>
      <c r="D260" s="221" t="s">
        <v>8</v>
      </c>
      <c r="E260" s="221" t="s">
        <v>9</v>
      </c>
      <c r="F260" s="221" t="s">
        <v>10</v>
      </c>
    </row>
    <row r="261" spans="1:6">
      <c r="A261" s="241">
        <v>88264</v>
      </c>
      <c r="B261" s="242" t="s">
        <v>1363</v>
      </c>
      <c r="C261" s="243" t="s">
        <v>1230</v>
      </c>
      <c r="D261" s="244">
        <v>0.063</v>
      </c>
      <c r="E261" s="245">
        <v>19.18</v>
      </c>
      <c r="F261" s="240">
        <f>ROUND(D261*E261,2)</f>
        <v>1.21</v>
      </c>
    </row>
    <row r="262" ht="25.5" spans="1:6">
      <c r="A262" s="185">
        <v>88247</v>
      </c>
      <c r="B262" s="194" t="s">
        <v>1364</v>
      </c>
      <c r="C262" s="187" t="s">
        <v>1230</v>
      </c>
      <c r="D262" s="239">
        <v>0.063</v>
      </c>
      <c r="E262" s="189">
        <v>15.57</v>
      </c>
      <c r="F262" s="240">
        <f>ROUND(D262*E262,2)</f>
        <v>0.98</v>
      </c>
    </row>
    <row r="263" ht="25.5" spans="1:6">
      <c r="A263" s="185" t="str">
        <f>'PB VII - Cotação'!A76</f>
        <v>COTAÇÃO 018</v>
      </c>
      <c r="B263" s="194" t="s">
        <v>1370</v>
      </c>
      <c r="C263" s="187" t="s">
        <v>20</v>
      </c>
      <c r="D263" s="239">
        <f>0.991/3</f>
        <v>0.330333333333333</v>
      </c>
      <c r="E263" s="245">
        <f>'PB VII - Cotação'!F78</f>
        <v>19.58</v>
      </c>
      <c r="F263" s="240">
        <f>ROUND(D263*E263,2)</f>
        <v>6.47</v>
      </c>
    </row>
    <row r="264" ht="51" spans="1:6">
      <c r="A264" s="185">
        <v>91170</v>
      </c>
      <c r="B264" s="194" t="s">
        <v>1371</v>
      </c>
      <c r="C264" s="187" t="s">
        <v>95</v>
      </c>
      <c r="D264" s="239">
        <v>1</v>
      </c>
      <c r="E264" s="246">
        <v>2.23</v>
      </c>
      <c r="F264" s="238">
        <f>ROUND(D264*E264,2)</f>
        <v>2.23</v>
      </c>
    </row>
    <row r="265" spans="4:6">
      <c r="D265" s="230" t="s">
        <v>734</v>
      </c>
      <c r="E265" s="230"/>
      <c r="F265" s="231">
        <f>SUM(F261:F264)</f>
        <v>10.89</v>
      </c>
    </row>
    <row r="267" ht="27.95" customHeight="1" spans="1:6">
      <c r="A267" s="200" t="s">
        <v>796</v>
      </c>
      <c r="B267" s="215" t="s">
        <v>635</v>
      </c>
      <c r="C267" s="216"/>
      <c r="D267" s="217"/>
      <c r="E267" s="218" t="s">
        <v>1225</v>
      </c>
      <c r="F267" s="218" t="s">
        <v>815</v>
      </c>
    </row>
    <row r="268" spans="1:6">
      <c r="A268" s="219" t="s">
        <v>1227</v>
      </c>
      <c r="B268" s="221" t="s">
        <v>895</v>
      </c>
      <c r="C268" s="221" t="s">
        <v>1228</v>
      </c>
      <c r="D268" s="221" t="s">
        <v>8</v>
      </c>
      <c r="E268" s="221" t="s">
        <v>9</v>
      </c>
      <c r="F268" s="221" t="s">
        <v>10</v>
      </c>
    </row>
    <row r="269" spans="1:6">
      <c r="A269" s="241">
        <v>88264</v>
      </c>
      <c r="B269" s="242" t="s">
        <v>1363</v>
      </c>
      <c r="C269" s="243" t="s">
        <v>1230</v>
      </c>
      <c r="D269" s="244">
        <v>0.091</v>
      </c>
      <c r="E269" s="247">
        <v>19.18</v>
      </c>
      <c r="F269" s="240">
        <f>ROUND(D269*E269,2)</f>
        <v>1.75</v>
      </c>
    </row>
    <row r="270" spans="1:6">
      <c r="A270" s="241"/>
      <c r="B270" s="242"/>
      <c r="C270" s="243"/>
      <c r="D270" s="244"/>
      <c r="E270" s="248"/>
      <c r="F270" s="240"/>
    </row>
    <row r="271" ht="25.5" spans="1:6">
      <c r="A271" s="185">
        <v>88247</v>
      </c>
      <c r="B271" s="194" t="s">
        <v>1364</v>
      </c>
      <c r="C271" s="187" t="s">
        <v>1230</v>
      </c>
      <c r="D271" s="239">
        <v>0.091</v>
      </c>
      <c r="E271" s="189">
        <v>15.57</v>
      </c>
      <c r="F271" s="168">
        <f>ROUND(D271*E271,2)</f>
        <v>1.42</v>
      </c>
    </row>
    <row r="272" ht="25.5" spans="1:6">
      <c r="A272" s="185" t="str">
        <f>'PB VII - Cotação'!A72</f>
        <v>COTAÇÃO 017</v>
      </c>
      <c r="B272" s="194" t="s">
        <v>1372</v>
      </c>
      <c r="C272" s="187" t="s">
        <v>20</v>
      </c>
      <c r="D272" s="239">
        <f>0.991/3</f>
        <v>0.330333333333333</v>
      </c>
      <c r="E272" s="189">
        <f>'PB VII - Cotação'!F74</f>
        <v>15.34</v>
      </c>
      <c r="F272" s="168">
        <f>ROUND(D272*E272,2)</f>
        <v>5.07</v>
      </c>
    </row>
    <row r="273" ht="51" spans="1:6">
      <c r="A273" s="185">
        <v>91170</v>
      </c>
      <c r="B273" s="194" t="s">
        <v>1371</v>
      </c>
      <c r="C273" s="187" t="s">
        <v>95</v>
      </c>
      <c r="D273" s="239">
        <v>1</v>
      </c>
      <c r="E273" s="189">
        <f>E264</f>
        <v>2.23</v>
      </c>
      <c r="F273" s="168">
        <f>ROUND(D273*E273,2)</f>
        <v>2.23</v>
      </c>
    </row>
    <row r="274" spans="4:6">
      <c r="D274" s="230" t="s">
        <v>734</v>
      </c>
      <c r="E274" s="230"/>
      <c r="F274" s="231">
        <f>SUM(F269:F273)</f>
        <v>10.47</v>
      </c>
    </row>
    <row r="276" ht="27.75" customHeight="1" spans="1:6">
      <c r="A276" s="200" t="s">
        <v>800</v>
      </c>
      <c r="B276" s="215" t="s">
        <v>1373</v>
      </c>
      <c r="C276" s="216"/>
      <c r="D276" s="217"/>
      <c r="E276" s="218" t="s">
        <v>1225</v>
      </c>
      <c r="F276" s="218" t="s">
        <v>815</v>
      </c>
    </row>
    <row r="277" spans="1:6">
      <c r="A277" s="219" t="s">
        <v>1227</v>
      </c>
      <c r="B277" s="221" t="s">
        <v>895</v>
      </c>
      <c r="C277" s="221" t="s">
        <v>1228</v>
      </c>
      <c r="D277" s="221" t="s">
        <v>8</v>
      </c>
      <c r="E277" s="221" t="s">
        <v>9</v>
      </c>
      <c r="F277" s="221" t="s">
        <v>10</v>
      </c>
    </row>
    <row r="278" spans="1:6">
      <c r="A278" s="241">
        <v>88264</v>
      </c>
      <c r="B278" s="242" t="s">
        <v>1363</v>
      </c>
      <c r="C278" s="243" t="s">
        <v>1230</v>
      </c>
      <c r="D278" s="244">
        <v>0.251</v>
      </c>
      <c r="E278" s="247">
        <v>19.18</v>
      </c>
      <c r="F278" s="240">
        <f t="shared" ref="F278:F285" si="13">ROUND(D278*E278,2)</f>
        <v>4.81</v>
      </c>
    </row>
    <row r="279" spans="1:6">
      <c r="A279" s="241"/>
      <c r="B279" s="242"/>
      <c r="C279" s="243"/>
      <c r="D279" s="244"/>
      <c r="E279" s="248"/>
      <c r="F279" s="240"/>
    </row>
    <row r="280" ht="25.5" spans="1:6">
      <c r="A280" s="185">
        <v>88247</v>
      </c>
      <c r="B280" s="194" t="s">
        <v>1364</v>
      </c>
      <c r="C280" s="187" t="s">
        <v>1230</v>
      </c>
      <c r="D280" s="239">
        <v>0.251</v>
      </c>
      <c r="E280" s="189">
        <v>15.57</v>
      </c>
      <c r="F280" s="168">
        <f t="shared" si="13"/>
        <v>3.91</v>
      </c>
    </row>
    <row r="281" ht="25.5" spans="1:6">
      <c r="A281" s="249" t="str">
        <f>'PB VII - Cotação'!A80</f>
        <v>COTAÇÃO 019</v>
      </c>
      <c r="B281" s="250" t="s">
        <v>1374</v>
      </c>
      <c r="C281" s="251" t="s">
        <v>20</v>
      </c>
      <c r="D281" s="252">
        <v>1</v>
      </c>
      <c r="E281" s="253">
        <f>'PB VII - Cotação'!F82</f>
        <v>9.88</v>
      </c>
      <c r="F281" s="254">
        <f t="shared" si="13"/>
        <v>9.88</v>
      </c>
    </row>
    <row r="282" spans="1:6">
      <c r="A282" s="185" t="str">
        <f>A252</f>
        <v>COTAÇÃO 012</v>
      </c>
      <c r="B282" s="194" t="s">
        <v>1366</v>
      </c>
      <c r="C282" s="187" t="s">
        <v>20</v>
      </c>
      <c r="D282" s="239">
        <v>6</v>
      </c>
      <c r="E282" s="189">
        <f>E253</f>
        <v>0.61</v>
      </c>
      <c r="F282" s="168">
        <f t="shared" si="13"/>
        <v>3.66</v>
      </c>
    </row>
    <row r="283" spans="1:6">
      <c r="A283" s="185" t="str">
        <f>A253</f>
        <v>COTAÇÃO 013</v>
      </c>
      <c r="B283" s="194" t="s">
        <v>1367</v>
      </c>
      <c r="C283" s="187" t="s">
        <v>20</v>
      </c>
      <c r="D283" s="239">
        <v>25.2</v>
      </c>
      <c r="E283" s="189">
        <f>E254</f>
        <v>0.1</v>
      </c>
      <c r="F283" s="168">
        <f t="shared" si="13"/>
        <v>2.52</v>
      </c>
    </row>
    <row r="284" spans="1:6">
      <c r="A284" s="185" t="str">
        <f>A254</f>
        <v>COTAÇÃO 014</v>
      </c>
      <c r="B284" s="194" t="s">
        <v>1368</v>
      </c>
      <c r="C284" s="187" t="s">
        <v>20</v>
      </c>
      <c r="D284" s="239">
        <v>25.2</v>
      </c>
      <c r="E284" s="189">
        <f>E255</f>
        <v>0.16</v>
      </c>
      <c r="F284" s="168">
        <f t="shared" si="13"/>
        <v>4.03</v>
      </c>
    </row>
    <row r="285" spans="1:6">
      <c r="A285" s="185" t="str">
        <f>A255</f>
        <v>COTAÇÃO 015</v>
      </c>
      <c r="B285" s="194" t="s">
        <v>1369</v>
      </c>
      <c r="C285" s="187" t="s">
        <v>20</v>
      </c>
      <c r="D285" s="239">
        <v>25.2</v>
      </c>
      <c r="E285" s="189">
        <f>E256</f>
        <v>0.09</v>
      </c>
      <c r="F285" s="168">
        <f t="shared" si="13"/>
        <v>2.27</v>
      </c>
    </row>
    <row r="286" spans="4:6">
      <c r="D286" s="230" t="s">
        <v>734</v>
      </c>
      <c r="E286" s="230"/>
      <c r="F286" s="231">
        <f>SUM(F278:F285)</f>
        <v>31.08</v>
      </c>
    </row>
    <row r="288" s="133" customFormat="1" ht="27.95" customHeight="1" spans="1:6">
      <c r="A288" s="200" t="s">
        <v>793</v>
      </c>
      <c r="B288" s="215" t="s">
        <v>639</v>
      </c>
      <c r="C288" s="216"/>
      <c r="D288" s="217"/>
      <c r="E288" s="218" t="s">
        <v>1225</v>
      </c>
      <c r="F288" s="218" t="s">
        <v>815</v>
      </c>
    </row>
    <row r="289" ht="23.25" customHeight="1" spans="1:6">
      <c r="A289" s="219" t="s">
        <v>1227</v>
      </c>
      <c r="B289" s="221" t="s">
        <v>895</v>
      </c>
      <c r="C289" s="221" t="s">
        <v>1228</v>
      </c>
      <c r="D289" s="221" t="s">
        <v>8</v>
      </c>
      <c r="E289" s="221" t="s">
        <v>9</v>
      </c>
      <c r="F289" s="221" t="s">
        <v>10</v>
      </c>
    </row>
    <row r="290" ht="23.25" customHeight="1" spans="1:6">
      <c r="A290" s="241">
        <v>88264</v>
      </c>
      <c r="B290" s="242" t="s">
        <v>1363</v>
      </c>
      <c r="C290" s="243" t="s">
        <v>1230</v>
      </c>
      <c r="D290" s="244">
        <v>0.251</v>
      </c>
      <c r="E290" s="255">
        <v>19.18</v>
      </c>
      <c r="F290" s="240">
        <f>ROUND(D290*E290,2)</f>
        <v>4.81</v>
      </c>
    </row>
    <row r="291" ht="23.25" customHeight="1" spans="1:6">
      <c r="A291" s="241"/>
      <c r="B291" s="242"/>
      <c r="C291" s="243"/>
      <c r="D291" s="244"/>
      <c r="E291" s="256"/>
      <c r="F291" s="240"/>
    </row>
    <row r="292" ht="23.25" customHeight="1" spans="1:6">
      <c r="A292" s="185">
        <v>88247</v>
      </c>
      <c r="B292" s="194" t="s">
        <v>1364</v>
      </c>
      <c r="C292" s="187" t="s">
        <v>1230</v>
      </c>
      <c r="D292" s="239">
        <v>0.251</v>
      </c>
      <c r="E292" s="239">
        <v>15.57</v>
      </c>
      <c r="F292" s="168">
        <f t="shared" ref="F292:F297" si="14">ROUND(D292*E292,2)</f>
        <v>3.91</v>
      </c>
    </row>
    <row r="293" ht="23.25" customHeight="1" spans="1:6">
      <c r="A293" s="249" t="str">
        <f>'PB VII - Cotação'!A84</f>
        <v>COTAÇÃO 020</v>
      </c>
      <c r="B293" s="250" t="s">
        <v>1374</v>
      </c>
      <c r="C293" s="251" t="s">
        <v>20</v>
      </c>
      <c r="D293" s="252">
        <v>1</v>
      </c>
      <c r="E293" s="252">
        <f>'PB VII - Cotação'!F86</f>
        <v>12.17</v>
      </c>
      <c r="F293" s="254">
        <f t="shared" si="14"/>
        <v>12.17</v>
      </c>
    </row>
    <row r="294" spans="1:6">
      <c r="A294" s="185" t="str">
        <f>A282</f>
        <v>COTAÇÃO 012</v>
      </c>
      <c r="B294" s="194" t="s">
        <v>1366</v>
      </c>
      <c r="C294" s="187" t="s">
        <v>20</v>
      </c>
      <c r="D294" s="239">
        <v>6</v>
      </c>
      <c r="E294" s="239">
        <f>E282</f>
        <v>0.61</v>
      </c>
      <c r="F294" s="168">
        <f t="shared" si="14"/>
        <v>3.66</v>
      </c>
    </row>
    <row r="295" spans="1:6">
      <c r="A295" s="185" t="str">
        <f>A283</f>
        <v>COTAÇÃO 013</v>
      </c>
      <c r="B295" s="194" t="s">
        <v>1367</v>
      </c>
      <c r="C295" s="187" t="s">
        <v>20</v>
      </c>
      <c r="D295" s="239">
        <v>25.2</v>
      </c>
      <c r="E295" s="239">
        <f>E283</f>
        <v>0.1</v>
      </c>
      <c r="F295" s="168">
        <f t="shared" si="14"/>
        <v>2.52</v>
      </c>
    </row>
    <row r="296" spans="1:6">
      <c r="A296" s="185" t="str">
        <f>A284</f>
        <v>COTAÇÃO 014</v>
      </c>
      <c r="B296" s="194" t="s">
        <v>1368</v>
      </c>
      <c r="C296" s="187" t="s">
        <v>20</v>
      </c>
      <c r="D296" s="239">
        <v>25.2</v>
      </c>
      <c r="E296" s="239">
        <f>E284</f>
        <v>0.16</v>
      </c>
      <c r="F296" s="168">
        <f t="shared" si="14"/>
        <v>4.03</v>
      </c>
    </row>
    <row r="297" spans="1:6">
      <c r="A297" s="185" t="str">
        <f>A285</f>
        <v>COTAÇÃO 015</v>
      </c>
      <c r="B297" s="194" t="s">
        <v>1369</v>
      </c>
      <c r="C297" s="187" t="s">
        <v>20</v>
      </c>
      <c r="D297" s="239">
        <v>25.2</v>
      </c>
      <c r="E297" s="239">
        <f>E285</f>
        <v>0.09</v>
      </c>
      <c r="F297" s="168">
        <f t="shared" si="14"/>
        <v>2.27</v>
      </c>
    </row>
    <row r="298" spans="4:6">
      <c r="D298" s="230" t="s">
        <v>734</v>
      </c>
      <c r="E298" s="230"/>
      <c r="F298" s="231">
        <f>SUM(F290:F297)</f>
        <v>33.37</v>
      </c>
    </row>
    <row r="301" ht="26.25" customHeight="1" spans="1:6">
      <c r="A301" s="200" t="s">
        <v>792</v>
      </c>
      <c r="B301" s="215" t="s">
        <v>1375</v>
      </c>
      <c r="C301" s="216"/>
      <c r="D301" s="217"/>
      <c r="E301" s="218" t="s">
        <v>1225</v>
      </c>
      <c r="F301" s="218" t="s">
        <v>815</v>
      </c>
    </row>
    <row r="302" spans="1:6">
      <c r="A302" s="219" t="s">
        <v>1227</v>
      </c>
      <c r="B302" s="221" t="s">
        <v>895</v>
      </c>
      <c r="C302" s="221" t="s">
        <v>1228</v>
      </c>
      <c r="D302" s="221" t="s">
        <v>8</v>
      </c>
      <c r="E302" s="221" t="s">
        <v>9</v>
      </c>
      <c r="F302" s="221" t="s">
        <v>10</v>
      </c>
    </row>
    <row r="303" spans="1:6">
      <c r="A303" s="241">
        <v>88264</v>
      </c>
      <c r="B303" s="242" t="s">
        <v>1363</v>
      </c>
      <c r="C303" s="243" t="s">
        <v>1230</v>
      </c>
      <c r="D303" s="244">
        <v>0.188</v>
      </c>
      <c r="E303" s="255">
        <v>19.18</v>
      </c>
      <c r="F303" s="240">
        <f t="shared" ref="F303:F310" si="15">ROUND(D303*E303,2)</f>
        <v>3.61</v>
      </c>
    </row>
    <row r="304" spans="1:6">
      <c r="A304" s="241"/>
      <c r="B304" s="242"/>
      <c r="C304" s="243"/>
      <c r="D304" s="244"/>
      <c r="E304" s="256"/>
      <c r="F304" s="240"/>
    </row>
    <row r="305" ht="25.5" spans="1:6">
      <c r="A305" s="185">
        <v>88247</v>
      </c>
      <c r="B305" s="194" t="s">
        <v>1364</v>
      </c>
      <c r="C305" s="187" t="s">
        <v>1230</v>
      </c>
      <c r="D305" s="239">
        <v>0.188</v>
      </c>
      <c r="E305" s="239">
        <v>15.57</v>
      </c>
      <c r="F305" s="168">
        <f t="shared" si="15"/>
        <v>2.93</v>
      </c>
    </row>
    <row r="306" ht="25.5" spans="1:6">
      <c r="A306" s="249" t="str">
        <f>'PB VII - Cotação'!A88</f>
        <v>COTAÇÃO 021</v>
      </c>
      <c r="B306" s="250" t="s">
        <v>1376</v>
      </c>
      <c r="C306" s="251" t="s">
        <v>20</v>
      </c>
      <c r="D306" s="252">
        <v>1</v>
      </c>
      <c r="E306" s="252">
        <f>'PB VII - Cotação'!F86</f>
        <v>12.17</v>
      </c>
      <c r="F306" s="254">
        <f t="shared" si="15"/>
        <v>12.17</v>
      </c>
    </row>
    <row r="307" spans="1:6">
      <c r="A307" s="185" t="s">
        <v>1377</v>
      </c>
      <c r="B307" s="194" t="s">
        <v>1366</v>
      </c>
      <c r="C307" s="187" t="s">
        <v>20</v>
      </c>
      <c r="D307" s="239">
        <v>4</v>
      </c>
      <c r="E307" s="239">
        <v>0.61</v>
      </c>
      <c r="F307" s="168">
        <f t="shared" si="15"/>
        <v>2.44</v>
      </c>
    </row>
    <row r="308" spans="1:6">
      <c r="A308" s="185" t="s">
        <v>1378</v>
      </c>
      <c r="B308" s="194" t="s">
        <v>1367</v>
      </c>
      <c r="C308" s="187" t="s">
        <v>20</v>
      </c>
      <c r="D308" s="239">
        <v>16.8</v>
      </c>
      <c r="E308" s="239">
        <v>0.1</v>
      </c>
      <c r="F308" s="168">
        <f t="shared" si="15"/>
        <v>1.68</v>
      </c>
    </row>
    <row r="309" spans="1:6">
      <c r="A309" s="185" t="s">
        <v>1379</v>
      </c>
      <c r="B309" s="194" t="s">
        <v>1368</v>
      </c>
      <c r="C309" s="187" t="s">
        <v>20</v>
      </c>
      <c r="D309" s="239">
        <v>16.8</v>
      </c>
      <c r="E309" s="239">
        <v>0.16</v>
      </c>
      <c r="F309" s="168">
        <f t="shared" si="15"/>
        <v>2.69</v>
      </c>
    </row>
    <row r="310" spans="1:6">
      <c r="A310" s="185" t="s">
        <v>1380</v>
      </c>
      <c r="B310" s="194" t="s">
        <v>1369</v>
      </c>
      <c r="C310" s="187" t="s">
        <v>20</v>
      </c>
      <c r="D310" s="239">
        <v>16.8</v>
      </c>
      <c r="E310" s="239">
        <v>0.09</v>
      </c>
      <c r="F310" s="168">
        <f t="shared" si="15"/>
        <v>1.51</v>
      </c>
    </row>
    <row r="311" spans="4:6">
      <c r="D311" s="230" t="s">
        <v>734</v>
      </c>
      <c r="E311" s="230"/>
      <c r="F311" s="231">
        <f>SUM(F303:F310)</f>
        <v>27.03</v>
      </c>
    </row>
    <row r="313" ht="26.25" customHeight="1" spans="1:6">
      <c r="A313" s="200" t="s">
        <v>804</v>
      </c>
      <c r="B313" s="215" t="s">
        <v>643</v>
      </c>
      <c r="C313" s="216"/>
      <c r="D313" s="217"/>
      <c r="E313" s="218" t="s">
        <v>1225</v>
      </c>
      <c r="F313" s="218" t="s">
        <v>815</v>
      </c>
    </row>
    <row r="314" spans="1:6">
      <c r="A314" s="219" t="s">
        <v>1227</v>
      </c>
      <c r="B314" s="221" t="s">
        <v>895</v>
      </c>
      <c r="C314" s="221" t="s">
        <v>1228</v>
      </c>
      <c r="D314" s="221" t="s">
        <v>8</v>
      </c>
      <c r="E314" s="221" t="s">
        <v>9</v>
      </c>
      <c r="F314" s="221" t="s">
        <v>10</v>
      </c>
    </row>
    <row r="315" spans="1:6">
      <c r="A315" s="241">
        <v>88264</v>
      </c>
      <c r="B315" s="242" t="s">
        <v>1363</v>
      </c>
      <c r="C315" s="243" t="s">
        <v>1230</v>
      </c>
      <c r="D315" s="244">
        <v>0.251</v>
      </c>
      <c r="E315" s="255">
        <v>19.18</v>
      </c>
      <c r="F315" s="240">
        <f>ROUND(D315*E315,2)</f>
        <v>4.81</v>
      </c>
    </row>
    <row r="316" spans="1:6">
      <c r="A316" s="241"/>
      <c r="B316" s="242"/>
      <c r="C316" s="243"/>
      <c r="D316" s="244"/>
      <c r="E316" s="256"/>
      <c r="F316" s="240"/>
    </row>
    <row r="317" ht="25.5" spans="1:6">
      <c r="A317" s="185">
        <v>88247</v>
      </c>
      <c r="B317" s="194" t="s">
        <v>1364</v>
      </c>
      <c r="C317" s="187" t="s">
        <v>1230</v>
      </c>
      <c r="D317" s="239">
        <v>0.251</v>
      </c>
      <c r="E317" s="239">
        <v>15.57</v>
      </c>
      <c r="F317" s="168">
        <f>ROUND(D317*E317,2)</f>
        <v>3.91</v>
      </c>
    </row>
    <row r="318" ht="25.5" spans="1:6">
      <c r="A318" s="249" t="str">
        <f>'PB VII - Cotação'!A96</f>
        <v>COTAÇÃO 023</v>
      </c>
      <c r="B318" s="250" t="s">
        <v>1381</v>
      </c>
      <c r="C318" s="251" t="s">
        <v>20</v>
      </c>
      <c r="D318" s="252">
        <v>1</v>
      </c>
      <c r="E318" s="252">
        <f>'PB VII - Cotação'!F98</f>
        <v>8.78</v>
      </c>
      <c r="F318" s="254">
        <f>ROUND(D318*E318,2)</f>
        <v>8.78</v>
      </c>
    </row>
    <row r="319" spans="1:6">
      <c r="A319" s="185" t="str">
        <f>A307</f>
        <v>COTAÇÃO 012</v>
      </c>
      <c r="B319" s="194" t="s">
        <v>1366</v>
      </c>
      <c r="C319" s="187" t="s">
        <v>20</v>
      </c>
      <c r="D319" s="239">
        <v>2</v>
      </c>
      <c r="E319" s="239">
        <f>E307</f>
        <v>0.61</v>
      </c>
      <c r="F319" s="168">
        <f>ROUND(D319*E319,2)</f>
        <v>1.22</v>
      </c>
    </row>
    <row r="320" spans="4:6">
      <c r="D320" s="230" t="s">
        <v>734</v>
      </c>
      <c r="E320" s="230"/>
      <c r="F320" s="231">
        <f>SUM(F315:F319)</f>
        <v>18.72</v>
      </c>
    </row>
    <row r="322" ht="27" customHeight="1" spans="1:6">
      <c r="A322" s="200" t="s">
        <v>799</v>
      </c>
      <c r="B322" s="215" t="s">
        <v>1382</v>
      </c>
      <c r="C322" s="216"/>
      <c r="D322" s="217"/>
      <c r="E322" s="218" t="s">
        <v>1225</v>
      </c>
      <c r="F322" s="218" t="s">
        <v>815</v>
      </c>
    </row>
    <row r="323" spans="1:6">
      <c r="A323" s="219" t="s">
        <v>1227</v>
      </c>
      <c r="B323" s="221" t="s">
        <v>895</v>
      </c>
      <c r="C323" s="221" t="s">
        <v>1228</v>
      </c>
      <c r="D323" s="221" t="s">
        <v>8</v>
      </c>
      <c r="E323" s="221" t="s">
        <v>9</v>
      </c>
      <c r="F323" s="221" t="s">
        <v>10</v>
      </c>
    </row>
    <row r="324" spans="1:6">
      <c r="A324" s="241">
        <v>88264</v>
      </c>
      <c r="B324" s="242" t="s">
        <v>1363</v>
      </c>
      <c r="C324" s="243" t="s">
        <v>1230</v>
      </c>
      <c r="D324" s="244">
        <v>0.16</v>
      </c>
      <c r="E324" s="255">
        <v>19.18</v>
      </c>
      <c r="F324" s="240">
        <v>3.07</v>
      </c>
    </row>
    <row r="325" spans="1:6">
      <c r="A325" s="241"/>
      <c r="B325" s="242"/>
      <c r="C325" s="243"/>
      <c r="D325" s="244"/>
      <c r="E325" s="256"/>
      <c r="F325" s="240"/>
    </row>
    <row r="326" ht="25.5" spans="1:6">
      <c r="A326" s="185">
        <v>88247</v>
      </c>
      <c r="B326" s="194" t="s">
        <v>1364</v>
      </c>
      <c r="C326" s="187" t="s">
        <v>1230</v>
      </c>
      <c r="D326" s="257">
        <v>0.16</v>
      </c>
      <c r="E326" s="239">
        <v>15.57</v>
      </c>
      <c r="F326" s="168">
        <f>ROUND(D326*E326,2)</f>
        <v>2.49</v>
      </c>
    </row>
    <row r="327" ht="25.5" spans="1:6">
      <c r="A327" s="185" t="str">
        <f>'PB VII - Cotação'!A100</f>
        <v>COTAÇÃO 024</v>
      </c>
      <c r="B327" s="194" t="s">
        <v>1383</v>
      </c>
      <c r="C327" s="187" t="s">
        <v>20</v>
      </c>
      <c r="D327" s="257">
        <v>1</v>
      </c>
      <c r="E327" s="239">
        <f>'PB VII - Cotação'!F102</f>
        <v>1.04</v>
      </c>
      <c r="F327" s="168">
        <v>1.04</v>
      </c>
    </row>
    <row r="328" spans="4:6">
      <c r="D328" s="258" t="s">
        <v>734</v>
      </c>
      <c r="E328" s="258"/>
      <c r="F328" s="231">
        <f>SUM(F324:F327)</f>
        <v>6.6</v>
      </c>
    </row>
    <row r="330" ht="26.25" customHeight="1" spans="1:6">
      <c r="A330" s="200" t="s">
        <v>794</v>
      </c>
      <c r="B330" s="215" t="s">
        <v>647</v>
      </c>
      <c r="C330" s="216"/>
      <c r="D330" s="217"/>
      <c r="E330" s="218" t="s">
        <v>1225</v>
      </c>
      <c r="F330" s="218" t="s">
        <v>815</v>
      </c>
    </row>
    <row r="331" spans="1:6">
      <c r="A331" s="219" t="s">
        <v>1227</v>
      </c>
      <c r="B331" s="221" t="s">
        <v>895</v>
      </c>
      <c r="C331" s="221" t="s">
        <v>1228</v>
      </c>
      <c r="D331" s="221" t="s">
        <v>8</v>
      </c>
      <c r="E331" s="221" t="s">
        <v>9</v>
      </c>
      <c r="F331" s="221" t="s">
        <v>10</v>
      </c>
    </row>
    <row r="332" spans="1:6">
      <c r="A332" s="241">
        <v>88264</v>
      </c>
      <c r="B332" s="242" t="s">
        <v>1363</v>
      </c>
      <c r="C332" s="243" t="s">
        <v>1230</v>
      </c>
      <c r="D332" s="244">
        <v>0.16</v>
      </c>
      <c r="E332" s="255">
        <v>19.18</v>
      </c>
      <c r="F332" s="240">
        <f t="shared" ref="F332:F335" si="16">ROUND(D332*E332,2)</f>
        <v>3.07</v>
      </c>
    </row>
    <row r="333" spans="1:6">
      <c r="A333" s="241"/>
      <c r="B333" s="242"/>
      <c r="C333" s="243"/>
      <c r="D333" s="244"/>
      <c r="E333" s="256"/>
      <c r="F333" s="240"/>
    </row>
    <row r="334" ht="25.5" spans="1:6">
      <c r="A334" s="185">
        <v>88247</v>
      </c>
      <c r="B334" s="194" t="s">
        <v>1364</v>
      </c>
      <c r="C334" s="187" t="s">
        <v>1230</v>
      </c>
      <c r="D334" s="257">
        <v>0.16</v>
      </c>
      <c r="E334" s="239">
        <v>15.57</v>
      </c>
      <c r="F334" s="168">
        <f t="shared" si="16"/>
        <v>2.49</v>
      </c>
    </row>
    <row r="335" ht="25.5" spans="1:6">
      <c r="A335" s="185" t="str">
        <f>'PB VII - Cotação'!A104</f>
        <v>COTAÇÃO 025</v>
      </c>
      <c r="B335" s="194" t="s">
        <v>1384</v>
      </c>
      <c r="C335" s="187" t="s">
        <v>20</v>
      </c>
      <c r="D335" s="239">
        <v>1</v>
      </c>
      <c r="E335" s="239">
        <f>'PB VII - Cotação'!F106</f>
        <v>1.02</v>
      </c>
      <c r="F335" s="168">
        <f t="shared" si="16"/>
        <v>1.02</v>
      </c>
    </row>
    <row r="336" spans="4:6">
      <c r="D336" s="258" t="s">
        <v>734</v>
      </c>
      <c r="E336" s="258"/>
      <c r="F336" s="231">
        <f>SUM(F332:F335)</f>
        <v>6.58</v>
      </c>
    </row>
    <row r="338" ht="27" customHeight="1" spans="1:6">
      <c r="A338" s="200" t="s">
        <v>795</v>
      </c>
      <c r="B338" s="215" t="s">
        <v>653</v>
      </c>
      <c r="C338" s="216"/>
      <c r="D338" s="217"/>
      <c r="E338" s="218" t="s">
        <v>1225</v>
      </c>
      <c r="F338" s="218" t="s">
        <v>815</v>
      </c>
    </row>
    <row r="339" spans="1:6">
      <c r="A339" s="219" t="s">
        <v>1227</v>
      </c>
      <c r="B339" s="220" t="s">
        <v>895</v>
      </c>
      <c r="C339" s="221" t="s">
        <v>1228</v>
      </c>
      <c r="D339" s="221" t="s">
        <v>8</v>
      </c>
      <c r="E339" s="221" t="s">
        <v>9</v>
      </c>
      <c r="F339" s="221" t="s">
        <v>10</v>
      </c>
    </row>
    <row r="340" ht="25.5" spans="1:6">
      <c r="A340" s="222">
        <v>2504</v>
      </c>
      <c r="B340" s="223" t="s">
        <v>1385</v>
      </c>
      <c r="C340" s="224" t="s">
        <v>95</v>
      </c>
      <c r="D340" s="257">
        <v>1.05</v>
      </c>
      <c r="E340" s="226">
        <v>10.35</v>
      </c>
      <c r="F340" s="227">
        <f t="shared" ref="F340:F343" si="17">ROUND(D340*E340,2)</f>
        <v>10.87</v>
      </c>
    </row>
    <row r="341" spans="1:6">
      <c r="A341" s="228">
        <v>88247</v>
      </c>
      <c r="B341" s="223" t="s">
        <v>1330</v>
      </c>
      <c r="C341" s="224" t="s">
        <v>1230</v>
      </c>
      <c r="D341" s="259">
        <v>0.1414</v>
      </c>
      <c r="E341" s="226">
        <v>15.57</v>
      </c>
      <c r="F341" s="227">
        <f t="shared" si="17"/>
        <v>2.2</v>
      </c>
    </row>
    <row r="342" spans="1:6">
      <c r="A342" s="228">
        <v>88264</v>
      </c>
      <c r="B342" s="223" t="s">
        <v>1322</v>
      </c>
      <c r="C342" s="260" t="s">
        <v>1230</v>
      </c>
      <c r="D342" s="259">
        <v>0.1414</v>
      </c>
      <c r="E342" s="261">
        <v>19.18</v>
      </c>
      <c r="F342" s="227">
        <f t="shared" si="17"/>
        <v>2.71</v>
      </c>
    </row>
    <row r="343" ht="51" spans="1:6">
      <c r="A343" s="228">
        <v>91171</v>
      </c>
      <c r="B343" s="262" t="s">
        <v>1386</v>
      </c>
      <c r="C343" s="260" t="s">
        <v>95</v>
      </c>
      <c r="D343" s="263">
        <v>1</v>
      </c>
      <c r="E343" s="263">
        <v>2.81</v>
      </c>
      <c r="F343" s="227">
        <f t="shared" si="17"/>
        <v>2.81</v>
      </c>
    </row>
    <row r="344" spans="4:6">
      <c r="D344" s="230" t="s">
        <v>734</v>
      </c>
      <c r="E344" s="230"/>
      <c r="F344" s="231">
        <f>SUM(F340:F343)</f>
        <v>18.59</v>
      </c>
    </row>
    <row r="345" spans="1:6">
      <c r="A345" s="175"/>
      <c r="B345" s="176"/>
      <c r="C345" s="176"/>
      <c r="D345" s="176"/>
      <c r="E345" s="176"/>
      <c r="F345" s="176"/>
    </row>
    <row r="346" ht="30.75" customHeight="1" spans="1:6">
      <c r="A346" s="156" t="s">
        <v>783</v>
      </c>
      <c r="B346" s="157" t="s">
        <v>1387</v>
      </c>
      <c r="C346" s="158"/>
      <c r="D346" s="159"/>
      <c r="E346" s="160" t="s">
        <v>1225</v>
      </c>
      <c r="F346" s="160" t="s">
        <v>17</v>
      </c>
    </row>
    <row r="347" spans="1:6">
      <c r="A347" s="161" t="s">
        <v>1227</v>
      </c>
      <c r="B347" s="162" t="s">
        <v>895</v>
      </c>
      <c r="C347" s="162" t="s">
        <v>1228</v>
      </c>
      <c r="D347" s="162" t="s">
        <v>8</v>
      </c>
      <c r="E347" s="162" t="s">
        <v>9</v>
      </c>
      <c r="F347" s="162" t="s">
        <v>10</v>
      </c>
    </row>
    <row r="348" ht="25.5" spans="1:6">
      <c r="A348" s="163" t="s">
        <v>1388</v>
      </c>
      <c r="B348" s="164" t="s">
        <v>1389</v>
      </c>
      <c r="C348" s="164" t="s">
        <v>17</v>
      </c>
      <c r="D348" s="166">
        <v>1.05</v>
      </c>
      <c r="E348" s="167">
        <v>138.58</v>
      </c>
      <c r="F348" s="168">
        <f>ROUND(D348*E348,2)</f>
        <v>145.51</v>
      </c>
    </row>
    <row r="349" spans="1:6">
      <c r="A349" s="163" t="s">
        <v>1390</v>
      </c>
      <c r="B349" s="164" t="s">
        <v>1391</v>
      </c>
      <c r="C349" s="164" t="s">
        <v>17</v>
      </c>
      <c r="D349" s="166">
        <v>1.05</v>
      </c>
      <c r="E349" s="167">
        <v>26.36</v>
      </c>
      <c r="F349" s="168">
        <f>ROUND(D349*E349,2)</f>
        <v>27.68</v>
      </c>
    </row>
    <row r="350" spans="1:6">
      <c r="A350" s="163" t="s">
        <v>1392</v>
      </c>
      <c r="B350" s="164" t="s">
        <v>1393</v>
      </c>
      <c r="C350" s="164" t="s">
        <v>1241</v>
      </c>
      <c r="D350" s="166">
        <v>0.5</v>
      </c>
      <c r="E350" s="167">
        <v>18.89</v>
      </c>
      <c r="F350" s="168">
        <f>ROUND(D350*E350,2)</f>
        <v>9.45</v>
      </c>
    </row>
    <row r="351" spans="1:6">
      <c r="A351" s="163">
        <v>88316</v>
      </c>
      <c r="B351" s="164" t="s">
        <v>1229</v>
      </c>
      <c r="C351" s="164" t="s">
        <v>1241</v>
      </c>
      <c r="D351" s="166">
        <v>0.5</v>
      </c>
      <c r="E351" s="167">
        <v>13.21</v>
      </c>
      <c r="F351" s="168">
        <f>ROUND(D351*E351,2)</f>
        <v>6.61</v>
      </c>
    </row>
    <row r="352" spans="1:6">
      <c r="A352" s="264"/>
      <c r="B352" s="265"/>
      <c r="C352" s="266"/>
      <c r="D352" s="172" t="s">
        <v>734</v>
      </c>
      <c r="E352" s="172"/>
      <c r="F352" s="173">
        <f>SUM(F348:F351)</f>
        <v>189.25</v>
      </c>
    </row>
    <row r="353" spans="1:6">
      <c r="A353" s="175"/>
      <c r="B353" s="176"/>
      <c r="C353" s="176"/>
      <c r="D353" s="176"/>
      <c r="E353" s="176"/>
      <c r="F353" s="176"/>
    </row>
    <row r="354" ht="25.5" spans="1:6">
      <c r="A354" s="156" t="s">
        <v>803</v>
      </c>
      <c r="B354" s="157" t="s">
        <v>1394</v>
      </c>
      <c r="C354" s="158"/>
      <c r="D354" s="159"/>
      <c r="E354" s="160" t="s">
        <v>1238</v>
      </c>
      <c r="F354" s="160" t="s">
        <v>1228</v>
      </c>
    </row>
    <row r="355" spans="1:6">
      <c r="A355" s="161" t="s">
        <v>1227</v>
      </c>
      <c r="B355" s="162" t="s">
        <v>895</v>
      </c>
      <c r="C355" s="162" t="s">
        <v>1228</v>
      </c>
      <c r="D355" s="162" t="s">
        <v>8</v>
      </c>
      <c r="E355" s="162" t="s">
        <v>9</v>
      </c>
      <c r="F355" s="162" t="s">
        <v>10</v>
      </c>
    </row>
    <row r="356" ht="25.5" spans="1:6">
      <c r="A356" s="163">
        <v>88267</v>
      </c>
      <c r="B356" s="164" t="s">
        <v>1395</v>
      </c>
      <c r="C356" s="164" t="s">
        <v>1241</v>
      </c>
      <c r="D356" s="166">
        <v>0.6</v>
      </c>
      <c r="E356" s="167">
        <v>18.96</v>
      </c>
      <c r="F356" s="168">
        <f>ROUND(D356*E356,2)</f>
        <v>11.38</v>
      </c>
    </row>
    <row r="357" spans="1:6">
      <c r="A357" s="163">
        <v>88316</v>
      </c>
      <c r="B357" s="164" t="s">
        <v>1307</v>
      </c>
      <c r="C357" s="164" t="s">
        <v>1241</v>
      </c>
      <c r="D357" s="166">
        <v>0.6</v>
      </c>
      <c r="E357" s="167">
        <v>13.21</v>
      </c>
      <c r="F357" s="168">
        <f>ROUND(D357*E357,2)</f>
        <v>7.93</v>
      </c>
    </row>
    <row r="358" spans="1:6">
      <c r="A358" s="175"/>
      <c r="B358" s="176"/>
      <c r="C358" s="176"/>
      <c r="D358" s="172" t="s">
        <v>734</v>
      </c>
      <c r="E358" s="172"/>
      <c r="F358" s="173">
        <f>SUM(F356:F357)</f>
        <v>19.31</v>
      </c>
    </row>
    <row r="359" spans="1:6">
      <c r="A359" s="175"/>
      <c r="B359" s="176"/>
      <c r="C359" s="176"/>
      <c r="D359" s="176"/>
      <c r="E359" s="176"/>
      <c r="F359" s="176"/>
    </row>
    <row r="360" ht="25.5" spans="1:6">
      <c r="A360" s="156" t="s">
        <v>802</v>
      </c>
      <c r="B360" s="157" t="s">
        <v>1396</v>
      </c>
      <c r="C360" s="158"/>
      <c r="D360" s="159"/>
      <c r="E360" s="160" t="s">
        <v>1238</v>
      </c>
      <c r="F360" s="160" t="s">
        <v>1228</v>
      </c>
    </row>
    <row r="361" spans="1:6">
      <c r="A361" s="161" t="s">
        <v>1227</v>
      </c>
      <c r="B361" s="162" t="s">
        <v>895</v>
      </c>
      <c r="C361" s="162" t="s">
        <v>1228</v>
      </c>
      <c r="D361" s="162" t="s">
        <v>8</v>
      </c>
      <c r="E361" s="162" t="s">
        <v>9</v>
      </c>
      <c r="F361" s="162" t="s">
        <v>10</v>
      </c>
    </row>
    <row r="362" spans="1:6">
      <c r="A362" s="163">
        <v>88264</v>
      </c>
      <c r="B362" s="164" t="s">
        <v>1363</v>
      </c>
      <c r="C362" s="165" t="s">
        <v>1241</v>
      </c>
      <c r="D362" s="166">
        <v>0.6</v>
      </c>
      <c r="E362" s="167">
        <v>19.18</v>
      </c>
      <c r="F362" s="168">
        <f>ROUND(D362*E362,2)</f>
        <v>11.51</v>
      </c>
    </row>
    <row r="363" spans="1:6">
      <c r="A363" s="163">
        <v>88316</v>
      </c>
      <c r="B363" s="164" t="s">
        <v>1307</v>
      </c>
      <c r="C363" s="165" t="s">
        <v>1241</v>
      </c>
      <c r="D363" s="166">
        <v>0.6</v>
      </c>
      <c r="E363" s="167">
        <v>13.21</v>
      </c>
      <c r="F363" s="168">
        <f>ROUND(D363*E363,2)</f>
        <v>7.93</v>
      </c>
    </row>
    <row r="364" spans="1:6">
      <c r="A364" s="175"/>
      <c r="B364" s="176"/>
      <c r="C364" s="176"/>
      <c r="D364" s="172" t="s">
        <v>734</v>
      </c>
      <c r="E364" s="172"/>
      <c r="F364" s="173">
        <f>SUM(F362:F363)</f>
        <v>19.44</v>
      </c>
    </row>
    <row r="365" spans="1:3">
      <c r="A365" s="175"/>
      <c r="B365" s="176"/>
      <c r="C365" s="176"/>
    </row>
    <row r="366" ht="23.25" customHeight="1" spans="1:6">
      <c r="A366" s="156" t="s">
        <v>761</v>
      </c>
      <c r="B366" s="157" t="s">
        <v>1397</v>
      </c>
      <c r="C366" s="158"/>
      <c r="D366" s="159"/>
      <c r="E366" s="160" t="s">
        <v>1225</v>
      </c>
      <c r="F366" s="160" t="s">
        <v>815</v>
      </c>
    </row>
    <row r="367" spans="1:8">
      <c r="A367" s="161" t="s">
        <v>1227</v>
      </c>
      <c r="B367" s="162" t="s">
        <v>895</v>
      </c>
      <c r="C367" s="162" t="s">
        <v>1228</v>
      </c>
      <c r="D367" s="162" t="s">
        <v>8</v>
      </c>
      <c r="E367" s="162" t="s">
        <v>9</v>
      </c>
      <c r="F367" s="162" t="s">
        <v>10</v>
      </c>
      <c r="G367" s="267"/>
      <c r="H367" s="268"/>
    </row>
    <row r="368" spans="1:8">
      <c r="A368" s="193">
        <v>72843</v>
      </c>
      <c r="B368" s="164" t="s">
        <v>1398</v>
      </c>
      <c r="C368" s="269" t="s">
        <v>1218</v>
      </c>
      <c r="D368" s="270">
        <f>'PB VI - Memorial'!E692</f>
        <v>8967.41385604</v>
      </c>
      <c r="E368" s="167">
        <v>0.6</v>
      </c>
      <c r="F368" s="168">
        <f>ROUND(D368*E368,2)</f>
        <v>5380.45</v>
      </c>
      <c r="G368" s="268"/>
      <c r="H368" s="268"/>
    </row>
    <row r="369" spans="1:8">
      <c r="A369" s="193">
        <v>72840</v>
      </c>
      <c r="B369" s="164" t="s">
        <v>1399</v>
      </c>
      <c r="C369" s="269" t="s">
        <v>1218</v>
      </c>
      <c r="D369" s="270">
        <f>'PB VI - Memorial'!E693</f>
        <v>24900.8557630237</v>
      </c>
      <c r="E369" s="167">
        <v>0.47</v>
      </c>
      <c r="F369" s="168">
        <f>ROUND(D369*E369,2)</f>
        <v>11703.4</v>
      </c>
      <c r="G369" s="268"/>
      <c r="H369" s="268"/>
    </row>
    <row r="370" spans="1:6">
      <c r="A370" s="190"/>
      <c r="B370" s="191"/>
      <c r="C370" s="192"/>
      <c r="D370" s="271" t="s">
        <v>734</v>
      </c>
      <c r="E370" s="271"/>
      <c r="F370" s="272">
        <f>SUM(F368:F369)</f>
        <v>17083.85</v>
      </c>
    </row>
    <row r="371" spans="1:6">
      <c r="A371" s="149" t="s">
        <v>1400</v>
      </c>
      <c r="B371" s="150"/>
      <c r="C371" s="150"/>
      <c r="D371" s="150"/>
      <c r="E371" s="150"/>
      <c r="F371" s="151"/>
    </row>
    <row r="372" spans="1:6">
      <c r="A372" s="175"/>
      <c r="B372" s="176"/>
      <c r="C372" s="176"/>
      <c r="D372" s="176"/>
      <c r="E372" s="176"/>
      <c r="F372" s="176"/>
    </row>
    <row r="373" ht="25.5" customHeight="1" spans="1:6">
      <c r="A373" s="156" t="s">
        <v>756</v>
      </c>
      <c r="B373" s="157" t="s">
        <v>1401</v>
      </c>
      <c r="C373" s="158"/>
      <c r="D373" s="159"/>
      <c r="E373" s="160" t="s">
        <v>1225</v>
      </c>
      <c r="F373" s="160" t="s">
        <v>815</v>
      </c>
    </row>
    <row r="374" spans="1:6">
      <c r="A374" s="161" t="s">
        <v>1227</v>
      </c>
      <c r="B374" s="162" t="s">
        <v>895</v>
      </c>
      <c r="C374" s="162" t="s">
        <v>1228</v>
      </c>
      <c r="D374" s="162" t="s">
        <v>8</v>
      </c>
      <c r="E374" s="162" t="s">
        <v>9</v>
      </c>
      <c r="F374" s="162" t="s">
        <v>10</v>
      </c>
    </row>
    <row r="375" ht="25.5" spans="1:6">
      <c r="A375" s="185">
        <v>90777</v>
      </c>
      <c r="B375" s="194" t="s">
        <v>1402</v>
      </c>
      <c r="C375" s="187" t="s">
        <v>1230</v>
      </c>
      <c r="D375" s="203">
        <f>2*4*4*7</f>
        <v>224</v>
      </c>
      <c r="E375" s="168">
        <v>69</v>
      </c>
      <c r="F375" s="168">
        <f>ROUND(D375*E375,2)</f>
        <v>15456</v>
      </c>
    </row>
    <row r="376" ht="25.5" spans="1:6">
      <c r="A376" s="185">
        <v>94295</v>
      </c>
      <c r="B376" s="194" t="s">
        <v>1403</v>
      </c>
      <c r="C376" s="187" t="s">
        <v>1404</v>
      </c>
      <c r="D376" s="203">
        <v>7</v>
      </c>
      <c r="E376" s="168">
        <v>5903.33</v>
      </c>
      <c r="F376" s="168">
        <f t="shared" ref="F376:F377" si="18">ROUND(D376*E376,2)</f>
        <v>41323.31</v>
      </c>
    </row>
    <row r="377" ht="24.75" customHeight="1" spans="1:6">
      <c r="A377" s="185">
        <v>88326</v>
      </c>
      <c r="B377" s="194" t="s">
        <v>1405</v>
      </c>
      <c r="C377" s="187" t="s">
        <v>1404</v>
      </c>
      <c r="D377" s="203">
        <v>7</v>
      </c>
      <c r="E377" s="168">
        <f>(17.21/1.8716)*1.4834*220</f>
        <v>3000.88110707416</v>
      </c>
      <c r="F377" s="168">
        <f t="shared" si="18"/>
        <v>21006.17</v>
      </c>
    </row>
    <row r="378" spans="1:6">
      <c r="A378" s="190"/>
      <c r="B378" s="191"/>
      <c r="C378" s="192"/>
      <c r="D378" s="172" t="s">
        <v>734</v>
      </c>
      <c r="E378" s="172"/>
      <c r="F378" s="173">
        <f>SUM(F375:F377)</f>
        <v>77785.48</v>
      </c>
    </row>
    <row r="379" spans="1:6">
      <c r="A379" s="175"/>
      <c r="B379" s="176"/>
      <c r="C379" s="176"/>
      <c r="D379" s="176"/>
      <c r="E379" s="176"/>
      <c r="F379" s="176"/>
    </row>
    <row r="382" spans="1:6">
      <c r="A382" s="273"/>
      <c r="B382" s="274"/>
      <c r="C382" s="274"/>
      <c r="D382" s="274"/>
      <c r="E382" s="274"/>
      <c r="F382" s="274"/>
    </row>
    <row r="383" spans="1:6">
      <c r="A383" s="273"/>
      <c r="B383" s="274"/>
      <c r="C383" s="274"/>
      <c r="D383" s="274"/>
      <c r="E383" s="274"/>
      <c r="F383" s="274"/>
    </row>
  </sheetData>
  <mergeCells count="133">
    <mergeCell ref="A1:F1"/>
    <mergeCell ref="A2:F2"/>
    <mergeCell ref="A3:F3"/>
    <mergeCell ref="A4:F4"/>
    <mergeCell ref="A5:F5"/>
    <mergeCell ref="A6:F6"/>
    <mergeCell ref="B8:D8"/>
    <mergeCell ref="D11:E11"/>
    <mergeCell ref="B14:D14"/>
    <mergeCell ref="D17:E17"/>
    <mergeCell ref="B20:D20"/>
    <mergeCell ref="D23:E23"/>
    <mergeCell ref="B26:D26"/>
    <mergeCell ref="D29:E29"/>
    <mergeCell ref="B31:D31"/>
    <mergeCell ref="D38:E38"/>
    <mergeCell ref="B40:D40"/>
    <mergeCell ref="D43:E43"/>
    <mergeCell ref="B45:D45"/>
    <mergeCell ref="D58:E58"/>
    <mergeCell ref="B60:D60"/>
    <mergeCell ref="D74:E74"/>
    <mergeCell ref="B76:D76"/>
    <mergeCell ref="D87:E87"/>
    <mergeCell ref="B89:D89"/>
    <mergeCell ref="D100:E100"/>
    <mergeCell ref="B103:D103"/>
    <mergeCell ref="D114:E114"/>
    <mergeCell ref="B116:D116"/>
    <mergeCell ref="D122:E122"/>
    <mergeCell ref="B124:D124"/>
    <mergeCell ref="D130:E130"/>
    <mergeCell ref="B132:D132"/>
    <mergeCell ref="D138:E138"/>
    <mergeCell ref="B140:D140"/>
    <mergeCell ref="D148:E148"/>
    <mergeCell ref="B150:D150"/>
    <mergeCell ref="D158:E158"/>
    <mergeCell ref="B160:D160"/>
    <mergeCell ref="D165:E165"/>
    <mergeCell ref="B167:D167"/>
    <mergeCell ref="D173:E173"/>
    <mergeCell ref="B175:D175"/>
    <mergeCell ref="D179:E179"/>
    <mergeCell ref="B181:D181"/>
    <mergeCell ref="D187:E187"/>
    <mergeCell ref="B189:D189"/>
    <mergeCell ref="D195:E195"/>
    <mergeCell ref="B197:D197"/>
    <mergeCell ref="D204:E204"/>
    <mergeCell ref="B206:D206"/>
    <mergeCell ref="D222:E222"/>
    <mergeCell ref="B224:D224"/>
    <mergeCell ref="D228:E228"/>
    <mergeCell ref="B230:D230"/>
    <mergeCell ref="D234:E234"/>
    <mergeCell ref="B236:D236"/>
    <mergeCell ref="D240:E240"/>
    <mergeCell ref="B242:D242"/>
    <mergeCell ref="D246:E246"/>
    <mergeCell ref="B248:D248"/>
    <mergeCell ref="D257:E257"/>
    <mergeCell ref="B259:D259"/>
    <mergeCell ref="D265:E265"/>
    <mergeCell ref="B267:D267"/>
    <mergeCell ref="D274:E274"/>
    <mergeCell ref="B276:D276"/>
    <mergeCell ref="D286:E286"/>
    <mergeCell ref="B288:D288"/>
    <mergeCell ref="D298:E298"/>
    <mergeCell ref="B301:D301"/>
    <mergeCell ref="D311:E311"/>
    <mergeCell ref="B313:D313"/>
    <mergeCell ref="D320:E320"/>
    <mergeCell ref="B322:D322"/>
    <mergeCell ref="D328:E328"/>
    <mergeCell ref="B330:D330"/>
    <mergeCell ref="D336:E336"/>
    <mergeCell ref="B338:D338"/>
    <mergeCell ref="D344:E344"/>
    <mergeCell ref="B346:D346"/>
    <mergeCell ref="D352:E352"/>
    <mergeCell ref="B354:D354"/>
    <mergeCell ref="D358:E358"/>
    <mergeCell ref="B360:D360"/>
    <mergeCell ref="D364:E364"/>
    <mergeCell ref="B366:D366"/>
    <mergeCell ref="D370:E370"/>
    <mergeCell ref="A371:F371"/>
    <mergeCell ref="B373:D373"/>
    <mergeCell ref="D378:E378"/>
    <mergeCell ref="A269:A270"/>
    <mergeCell ref="A278:A279"/>
    <mergeCell ref="A290:A291"/>
    <mergeCell ref="A303:A304"/>
    <mergeCell ref="A315:A316"/>
    <mergeCell ref="A324:A325"/>
    <mergeCell ref="A332:A333"/>
    <mergeCell ref="B269:B270"/>
    <mergeCell ref="B278:B279"/>
    <mergeCell ref="B290:B291"/>
    <mergeCell ref="B303:B304"/>
    <mergeCell ref="B315:B316"/>
    <mergeCell ref="B324:B325"/>
    <mergeCell ref="B332:B333"/>
    <mergeCell ref="C269:C270"/>
    <mergeCell ref="C278:C279"/>
    <mergeCell ref="C290:C291"/>
    <mergeCell ref="C303:C304"/>
    <mergeCell ref="C315:C316"/>
    <mergeCell ref="C324:C325"/>
    <mergeCell ref="C332:C333"/>
    <mergeCell ref="D269:D270"/>
    <mergeCell ref="D278:D279"/>
    <mergeCell ref="D290:D291"/>
    <mergeCell ref="D303:D304"/>
    <mergeCell ref="D315:D316"/>
    <mergeCell ref="D324:D325"/>
    <mergeCell ref="D332:D333"/>
    <mergeCell ref="E269:E270"/>
    <mergeCell ref="E278:E279"/>
    <mergeCell ref="E290:E291"/>
    <mergeCell ref="E303:E304"/>
    <mergeCell ref="E315:E316"/>
    <mergeCell ref="E324:E325"/>
    <mergeCell ref="E332:E333"/>
    <mergeCell ref="F269:F270"/>
    <mergeCell ref="F278:F279"/>
    <mergeCell ref="F290:F291"/>
    <mergeCell ref="F303:F304"/>
    <mergeCell ref="F315:F316"/>
    <mergeCell ref="F324:F325"/>
    <mergeCell ref="F332:F333"/>
  </mergeCells>
  <printOptions horizontalCentered="1"/>
  <pageMargins left="0.393055555555556" right="0" top="1.37777777777778" bottom="0.393055555555556" header="0" footer="0"/>
  <pageSetup paperSize="9" scale="76" orientation="portrait"/>
  <headerFooter>
    <oddHeader>&amp;C&amp;10
&amp;G
DEFENSORIA PÚBLICA DO ESTADO DE RORAIMA
“Amazônia: Patrimônio dos brasileiros”
____________________________________________________________________________________________________</oddHeader>
    <oddFooter>&amp;C&amp;"Arial,Normal"&amp;9Página &amp;P de &amp;N</oddFooter>
  </headerFooter>
  <rowBreaks count="8" manualBreakCount="8">
    <brk id="30" max="5" man="1"/>
    <brk id="74" max="5" man="1"/>
    <brk id="115" max="5" man="1"/>
    <brk id="205" max="5" man="1"/>
    <brk id="246" max="5" man="1"/>
    <brk id="287" max="5" man="1"/>
    <brk id="312" max="5" man="1"/>
    <brk id="358" max="5" man="1"/>
  </rowBreaks>
  <legacyDrawingHF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9"/>
  <sheetViews>
    <sheetView view="pageBreakPreview" zoomScale="70" zoomScaleNormal="100" zoomScaleSheetLayoutView="70" topLeftCell="A115" workbookViewId="0">
      <selection activeCell="D123" sqref="D123"/>
    </sheetView>
  </sheetViews>
  <sheetFormatPr defaultColWidth="9" defaultRowHeight="15.75" outlineLevelCol="5"/>
  <cols>
    <col min="1" max="1" width="29" style="72" customWidth="1"/>
    <col min="2" max="6" width="30.8571428571429" style="72" customWidth="1"/>
  </cols>
  <sheetData>
    <row r="1" ht="18.75" customHeight="1" spans="1:6">
      <c r="A1" s="73" t="s">
        <v>1406</v>
      </c>
      <c r="B1" s="74"/>
      <c r="C1" s="74"/>
      <c r="D1" s="74"/>
      <c r="E1" s="74"/>
      <c r="F1" s="74"/>
    </row>
    <row r="2" ht="8.25" customHeight="1" spans="1:6">
      <c r="A2" s="75"/>
      <c r="B2" s="75"/>
      <c r="C2" s="76"/>
      <c r="D2" s="75"/>
      <c r="E2" s="75"/>
      <c r="F2" s="77"/>
    </row>
    <row r="3" ht="24.75" customHeight="1" spans="1:6">
      <c r="A3" s="78" t="str">
        <f>'PB III - Orçamento Sintetico'!A4:G4</f>
        <v>OBRA: CONSTRUÇÃO DA SEDE DA DEFENSORIA PÚBLICA DO ESTADO DE RORAIMA NO MUNICIPIO DO BONFIM - DPE/RR</v>
      </c>
      <c r="B3" s="79"/>
      <c r="C3" s="79"/>
      <c r="D3" s="79"/>
      <c r="E3" s="79"/>
      <c r="F3" s="79"/>
    </row>
    <row r="4" ht="8.25" customHeight="1" spans="1:6">
      <c r="A4" s="75"/>
      <c r="B4" s="75"/>
      <c r="C4" s="76"/>
      <c r="D4" s="75"/>
      <c r="E4" s="75"/>
      <c r="F4" s="77"/>
    </row>
    <row r="5" ht="4.5" customHeight="1" spans="1:6">
      <c r="A5" s="80"/>
      <c r="B5" s="80"/>
      <c r="C5" s="80"/>
      <c r="D5" s="80"/>
      <c r="E5" s="80"/>
      <c r="F5" s="80"/>
    </row>
    <row r="6" ht="16.5" spans="1:6">
      <c r="A6" s="81" t="s">
        <v>1407</v>
      </c>
      <c r="B6" s="82"/>
      <c r="C6" s="82"/>
      <c r="D6" s="82"/>
      <c r="E6" s="82"/>
      <c r="F6" s="83"/>
    </row>
    <row r="7" spans="1:6">
      <c r="A7" s="84" t="s">
        <v>1408</v>
      </c>
      <c r="B7" s="85" t="s">
        <v>1409</v>
      </c>
      <c r="C7" s="85" t="s">
        <v>1410</v>
      </c>
      <c r="D7" s="85" t="s">
        <v>1411</v>
      </c>
      <c r="E7" s="86"/>
      <c r="F7" s="87"/>
    </row>
    <row r="8" ht="111" customHeight="1" spans="1:6">
      <c r="A8" s="88" t="s">
        <v>815</v>
      </c>
      <c r="B8" s="89" t="s">
        <v>1412</v>
      </c>
      <c r="C8" s="89" t="s">
        <v>1413</v>
      </c>
      <c r="D8" s="89" t="s">
        <v>1414</v>
      </c>
      <c r="E8" s="90"/>
      <c r="F8" s="91" t="s">
        <v>1415</v>
      </c>
    </row>
    <row r="9" ht="48" spans="1:6">
      <c r="A9" s="92" t="s">
        <v>1416</v>
      </c>
      <c r="B9" s="93">
        <v>148.99</v>
      </c>
      <c r="C9" s="94">
        <v>85</v>
      </c>
      <c r="D9" s="95">
        <v>121.07</v>
      </c>
      <c r="E9" s="90"/>
      <c r="F9" s="96">
        <f>ROUND(MEDIAN(B9:E9),2)</f>
        <v>121.07</v>
      </c>
    </row>
    <row r="10" ht="16.5" spans="1:6">
      <c r="A10" s="97"/>
      <c r="B10" s="98"/>
      <c r="C10" s="99"/>
      <c r="D10" s="100"/>
      <c r="E10" s="101"/>
      <c r="F10" s="101"/>
    </row>
    <row r="11" spans="1:6">
      <c r="A11" s="84" t="s">
        <v>1417</v>
      </c>
      <c r="B11" s="85" t="s">
        <v>1409</v>
      </c>
      <c r="C11" s="85" t="s">
        <v>1410</v>
      </c>
      <c r="D11" s="85" t="s">
        <v>1411</v>
      </c>
      <c r="E11" s="85" t="s">
        <v>1418</v>
      </c>
      <c r="F11" s="87"/>
    </row>
    <row r="12" ht="94.5" spans="1:6">
      <c r="A12" s="88" t="s">
        <v>815</v>
      </c>
      <c r="B12" s="89" t="s">
        <v>1419</v>
      </c>
      <c r="C12" s="89" t="s">
        <v>1420</v>
      </c>
      <c r="D12" s="102" t="s">
        <v>1413</v>
      </c>
      <c r="E12" s="89" t="s">
        <v>1414</v>
      </c>
      <c r="F12" s="91" t="s">
        <v>1415</v>
      </c>
    </row>
    <row r="13" ht="32.25" spans="1:6">
      <c r="A13" s="92" t="s">
        <v>1421</v>
      </c>
      <c r="B13" s="93">
        <v>130.4</v>
      </c>
      <c r="C13" s="94">
        <v>81.46</v>
      </c>
      <c r="D13" s="103">
        <v>95</v>
      </c>
      <c r="E13" s="95">
        <v>118.25</v>
      </c>
      <c r="F13" s="96">
        <f>ROUND(MEDIAN(B13:E13),2)</f>
        <v>106.63</v>
      </c>
    </row>
    <row r="14" ht="16.5" spans="1:6">
      <c r="A14" s="97"/>
      <c r="B14" s="104"/>
      <c r="C14" s="104"/>
      <c r="D14" s="104"/>
      <c r="E14" s="104"/>
      <c r="F14" s="101"/>
    </row>
    <row r="15" spans="1:6">
      <c r="A15" s="84" t="s">
        <v>1422</v>
      </c>
      <c r="B15" s="85" t="s">
        <v>1409</v>
      </c>
      <c r="C15" s="85" t="s">
        <v>1410</v>
      </c>
      <c r="D15" s="85" t="s">
        <v>1411</v>
      </c>
      <c r="E15" s="85" t="s">
        <v>1418</v>
      </c>
      <c r="F15" s="87"/>
    </row>
    <row r="16" ht="94.5" spans="1:6">
      <c r="A16" s="105" t="s">
        <v>815</v>
      </c>
      <c r="B16" s="89" t="s">
        <v>1423</v>
      </c>
      <c r="C16" s="89" t="s">
        <v>1420</v>
      </c>
      <c r="D16" s="102" t="s">
        <v>1424</v>
      </c>
      <c r="E16" s="102" t="s">
        <v>1412</v>
      </c>
      <c r="F16" s="91" t="s">
        <v>1415</v>
      </c>
    </row>
    <row r="17" ht="32.25" spans="1:6">
      <c r="A17" s="92" t="s">
        <v>1425</v>
      </c>
      <c r="B17" s="106">
        <v>61.44</v>
      </c>
      <c r="C17" s="107">
        <v>25.59</v>
      </c>
      <c r="D17" s="108">
        <v>26.81</v>
      </c>
      <c r="E17" s="108">
        <v>53.25</v>
      </c>
      <c r="F17" s="96">
        <f>ROUND(MEDIAN(B17:E17),2)</f>
        <v>40.03</v>
      </c>
    </row>
    <row r="18" ht="16.5" spans="1:6">
      <c r="A18" s="97"/>
      <c r="B18" s="98"/>
      <c r="C18" s="99"/>
      <c r="D18" s="100"/>
      <c r="E18" s="101"/>
      <c r="F18" s="101"/>
    </row>
    <row r="19" spans="1:6">
      <c r="A19" s="84" t="s">
        <v>1426</v>
      </c>
      <c r="B19" s="85" t="s">
        <v>1409</v>
      </c>
      <c r="C19" s="85" t="s">
        <v>1410</v>
      </c>
      <c r="D19" s="85" t="s">
        <v>1411</v>
      </c>
      <c r="E19" s="85"/>
      <c r="F19" s="109"/>
    </row>
    <row r="20" ht="94.5" spans="1:6">
      <c r="A20" s="105" t="s">
        <v>815</v>
      </c>
      <c r="B20" s="89" t="s">
        <v>1419</v>
      </c>
      <c r="C20" s="89" t="s">
        <v>1420</v>
      </c>
      <c r="D20" s="102" t="s">
        <v>1424</v>
      </c>
      <c r="E20" s="102"/>
      <c r="F20" s="91" t="s">
        <v>1415</v>
      </c>
    </row>
    <row r="21" ht="32.25" spans="1:6">
      <c r="A21" s="92" t="s">
        <v>1427</v>
      </c>
      <c r="B21" s="110">
        <v>87</v>
      </c>
      <c r="C21" s="94">
        <v>85.42</v>
      </c>
      <c r="D21" s="95">
        <v>73.63</v>
      </c>
      <c r="E21" s="102"/>
      <c r="F21" s="96">
        <f>ROUND(MEDIAN(B21:E21),2)</f>
        <v>85.42</v>
      </c>
    </row>
    <row r="22" ht="16.5" spans="1:6">
      <c r="A22" s="111"/>
      <c r="B22" s="97"/>
      <c r="C22" s="112"/>
      <c r="D22" s="113"/>
      <c r="E22" s="101"/>
      <c r="F22" s="101"/>
    </row>
    <row r="23" spans="1:6">
      <c r="A23" s="114" t="s">
        <v>1428</v>
      </c>
      <c r="B23" s="85" t="s">
        <v>1409</v>
      </c>
      <c r="C23" s="85" t="s">
        <v>1410</v>
      </c>
      <c r="D23" s="85" t="s">
        <v>1411</v>
      </c>
      <c r="E23" s="85" t="s">
        <v>1418</v>
      </c>
      <c r="F23" s="109"/>
    </row>
    <row r="24" ht="94.5" spans="1:6">
      <c r="A24" s="115" t="s">
        <v>815</v>
      </c>
      <c r="B24" s="89" t="s">
        <v>1420</v>
      </c>
      <c r="C24" s="89" t="s">
        <v>1424</v>
      </c>
      <c r="D24" s="102" t="s">
        <v>1412</v>
      </c>
      <c r="E24" s="102" t="s">
        <v>1413</v>
      </c>
      <c r="F24" s="91" t="s">
        <v>1415</v>
      </c>
    </row>
    <row r="25" ht="48.95" customHeight="1" spans="1:6">
      <c r="A25" s="116" t="s">
        <v>1429</v>
      </c>
      <c r="B25" s="93">
        <v>23.77</v>
      </c>
      <c r="C25" s="94">
        <v>24.53</v>
      </c>
      <c r="D25" s="95">
        <v>29.79</v>
      </c>
      <c r="E25" s="117">
        <v>29</v>
      </c>
      <c r="F25" s="96">
        <f>ROUND(MEDIAN(B25:E25),2)</f>
        <v>26.77</v>
      </c>
    </row>
    <row r="26" ht="16.5" spans="1:6">
      <c r="A26" s="111"/>
      <c r="B26" s="97"/>
      <c r="C26" s="112"/>
      <c r="D26" s="100"/>
      <c r="E26" s="101"/>
      <c r="F26" s="101"/>
    </row>
    <row r="27" spans="1:6">
      <c r="A27" s="118" t="s">
        <v>1430</v>
      </c>
      <c r="B27" s="119" t="s">
        <v>1409</v>
      </c>
      <c r="C27" s="120" t="s">
        <v>1410</v>
      </c>
      <c r="D27" s="120" t="s">
        <v>1411</v>
      </c>
      <c r="E27" s="120" t="s">
        <v>1418</v>
      </c>
      <c r="F27" s="109"/>
    </row>
    <row r="28" ht="94.5" spans="1:6">
      <c r="A28" s="115" t="s">
        <v>815</v>
      </c>
      <c r="B28" s="102" t="s">
        <v>1412</v>
      </c>
      <c r="C28" s="89"/>
      <c r="D28" s="102"/>
      <c r="E28" s="102"/>
      <c r="F28" s="91" t="s">
        <v>1415</v>
      </c>
    </row>
    <row r="29" ht="78.75" spans="1:6">
      <c r="A29" s="116" t="s">
        <v>1431</v>
      </c>
      <c r="B29" s="93">
        <v>211.99</v>
      </c>
      <c r="C29" s="94"/>
      <c r="D29" s="102"/>
      <c r="E29" s="102"/>
      <c r="F29" s="96">
        <f>ROUND(MEDIAN(B29:E29),2)</f>
        <v>211.99</v>
      </c>
    </row>
    <row r="30" ht="16.5" spans="1:6">
      <c r="A30" s="111"/>
      <c r="B30" s="97"/>
      <c r="C30" s="112"/>
      <c r="D30" s="100"/>
      <c r="E30" s="101"/>
      <c r="F30" s="101"/>
    </row>
    <row r="31" spans="1:6">
      <c r="A31" s="84" t="s">
        <v>1432</v>
      </c>
      <c r="B31" s="119" t="s">
        <v>1409</v>
      </c>
      <c r="C31" s="119" t="s">
        <v>1410</v>
      </c>
      <c r="D31" s="120"/>
      <c r="E31" s="120"/>
      <c r="F31" s="109"/>
    </row>
    <row r="32" ht="110.25" spans="1:6">
      <c r="A32" s="115" t="s">
        <v>815</v>
      </c>
      <c r="B32" s="89" t="s">
        <v>1420</v>
      </c>
      <c r="C32" s="89" t="s">
        <v>1413</v>
      </c>
      <c r="D32" s="102" t="s">
        <v>1433</v>
      </c>
      <c r="E32" s="102"/>
      <c r="F32" s="91" t="s">
        <v>1415</v>
      </c>
    </row>
    <row r="33" ht="63" spans="1:6">
      <c r="A33" s="116" t="s">
        <v>1434</v>
      </c>
      <c r="B33" s="93">
        <v>49.39</v>
      </c>
      <c r="C33" s="94">
        <v>45</v>
      </c>
      <c r="D33" s="95">
        <f>ROUND(75.93+(135.13/19),2)</f>
        <v>83.04</v>
      </c>
      <c r="E33" s="102"/>
      <c r="F33" s="96">
        <f>ROUND(MEDIAN(B33:E33),2)</f>
        <v>49.39</v>
      </c>
    </row>
    <row r="34" ht="16.5" spans="1:6">
      <c r="A34" s="111"/>
      <c r="B34" s="97"/>
      <c r="C34" s="112"/>
      <c r="D34" s="113"/>
      <c r="E34" s="101"/>
      <c r="F34" s="101"/>
    </row>
    <row r="35" spans="1:6">
      <c r="A35" s="84" t="s">
        <v>1435</v>
      </c>
      <c r="B35" s="119" t="s">
        <v>1409</v>
      </c>
      <c r="C35" s="119" t="s">
        <v>1410</v>
      </c>
      <c r="D35" s="119" t="s">
        <v>1411</v>
      </c>
      <c r="E35" s="119" t="s">
        <v>1418</v>
      </c>
      <c r="F35" s="121"/>
    </row>
    <row r="36" ht="94.5" spans="1:6">
      <c r="A36" s="115" t="s">
        <v>815</v>
      </c>
      <c r="B36" s="89" t="s">
        <v>1423</v>
      </c>
      <c r="C36" s="89" t="s">
        <v>1419</v>
      </c>
      <c r="D36" s="102" t="s">
        <v>1420</v>
      </c>
      <c r="E36" s="102" t="s">
        <v>1424</v>
      </c>
      <c r="F36" s="91" t="s">
        <v>1415</v>
      </c>
    </row>
    <row r="37" ht="47.25" spans="1:6">
      <c r="A37" s="116" t="s">
        <v>611</v>
      </c>
      <c r="B37" s="93">
        <v>108.77</v>
      </c>
      <c r="C37" s="94">
        <v>85</v>
      </c>
      <c r="D37" s="95">
        <v>96.28</v>
      </c>
      <c r="E37" s="95">
        <v>97.47</v>
      </c>
      <c r="F37" s="96">
        <f>ROUND(MEDIAN(B37:E37),2)</f>
        <v>96.88</v>
      </c>
    </row>
    <row r="38" ht="16.5" spans="1:6">
      <c r="A38" s="111"/>
      <c r="B38" s="97"/>
      <c r="C38" s="112"/>
      <c r="D38" s="100"/>
      <c r="E38" s="101"/>
      <c r="F38" s="101"/>
    </row>
    <row r="39" spans="1:6">
      <c r="A39" s="118" t="s">
        <v>1436</v>
      </c>
      <c r="B39" s="119" t="s">
        <v>1409</v>
      </c>
      <c r="C39" s="120"/>
      <c r="D39" s="120"/>
      <c r="E39" s="120"/>
      <c r="F39" s="109"/>
    </row>
    <row r="40" ht="94.5" spans="1:6">
      <c r="A40" s="115" t="s">
        <v>815</v>
      </c>
      <c r="B40" s="89" t="s">
        <v>1419</v>
      </c>
      <c r="C40" s="89" t="s">
        <v>1437</v>
      </c>
      <c r="D40" s="102"/>
      <c r="E40" s="102"/>
      <c r="F40" s="91" t="s">
        <v>1415</v>
      </c>
    </row>
    <row r="41" ht="31.5" spans="1:6">
      <c r="A41" s="116" t="s">
        <v>1438</v>
      </c>
      <c r="B41" s="110">
        <v>350</v>
      </c>
      <c r="C41" s="94">
        <v>300</v>
      </c>
      <c r="D41" s="102"/>
      <c r="E41" s="102"/>
      <c r="F41" s="96">
        <f>ROUND(MEDIAN(B41:E41),2)</f>
        <v>325</v>
      </c>
    </row>
    <row r="42" ht="16.5" spans="1:6">
      <c r="A42" s="111"/>
      <c r="B42" s="97"/>
      <c r="C42" s="112"/>
      <c r="D42" s="100"/>
      <c r="E42" s="101"/>
      <c r="F42" s="101"/>
    </row>
    <row r="43" spans="1:6">
      <c r="A43" s="84" t="s">
        <v>1439</v>
      </c>
      <c r="B43" s="119" t="s">
        <v>1409</v>
      </c>
      <c r="C43" s="119" t="s">
        <v>1410</v>
      </c>
      <c r="D43" s="119" t="s">
        <v>1411</v>
      </c>
      <c r="E43" s="119" t="s">
        <v>1418</v>
      </c>
      <c r="F43" s="109"/>
    </row>
    <row r="44" ht="94.5" spans="1:6">
      <c r="A44" s="115" t="s">
        <v>815</v>
      </c>
      <c r="B44" s="89" t="s">
        <v>1420</v>
      </c>
      <c r="C44" s="102" t="s">
        <v>1424</v>
      </c>
      <c r="D44" s="102" t="s">
        <v>1412</v>
      </c>
      <c r="E44" s="102" t="s">
        <v>1413</v>
      </c>
      <c r="F44" s="91" t="s">
        <v>1415</v>
      </c>
    </row>
    <row r="45" ht="47.25" spans="1:6">
      <c r="A45" s="116" t="s">
        <v>1354</v>
      </c>
      <c r="B45" s="94">
        <v>96.37</v>
      </c>
      <c r="C45" s="95">
        <v>84.79</v>
      </c>
      <c r="D45" s="95">
        <v>81.19</v>
      </c>
      <c r="E45" s="117">
        <v>98</v>
      </c>
      <c r="F45" s="96">
        <f>ROUND(MEDIAN(B45:E45),2)</f>
        <v>90.58</v>
      </c>
    </row>
    <row r="46" ht="16.5" spans="1:6">
      <c r="A46" s="122"/>
      <c r="B46" s="104"/>
      <c r="C46" s="104"/>
      <c r="D46" s="104"/>
      <c r="E46" s="104"/>
      <c r="F46" s="104"/>
    </row>
    <row r="47" spans="1:6">
      <c r="A47" s="118" t="s">
        <v>1440</v>
      </c>
      <c r="B47" s="119" t="s">
        <v>1409</v>
      </c>
      <c r="C47" s="119" t="s">
        <v>1410</v>
      </c>
      <c r="D47" s="120"/>
      <c r="E47" s="120"/>
      <c r="F47" s="109"/>
    </row>
    <row r="48" ht="110.25" spans="1:6">
      <c r="A48" s="115" t="s">
        <v>815</v>
      </c>
      <c r="B48" s="89" t="s">
        <v>1420</v>
      </c>
      <c r="C48" s="89" t="s">
        <v>1413</v>
      </c>
      <c r="D48" s="102" t="s">
        <v>1433</v>
      </c>
      <c r="E48" s="102"/>
      <c r="F48" s="91" t="s">
        <v>1415</v>
      </c>
    </row>
    <row r="49" ht="39" customHeight="1" spans="1:6">
      <c r="A49" s="116" t="s">
        <v>1441</v>
      </c>
      <c r="B49" s="93">
        <v>39.64</v>
      </c>
      <c r="C49" s="94">
        <v>120</v>
      </c>
      <c r="D49" s="95">
        <f>ROUND(81.71+(135.13/19),2)</f>
        <v>88.82</v>
      </c>
      <c r="E49" s="102"/>
      <c r="F49" s="96">
        <f>ROUND(MEDIAN(B49:E49),2)</f>
        <v>88.82</v>
      </c>
    </row>
    <row r="50" spans="1:6">
      <c r="A50" s="122"/>
      <c r="B50" s="104"/>
      <c r="C50" s="104"/>
      <c r="D50" s="104"/>
      <c r="E50" s="104"/>
      <c r="F50" s="101"/>
    </row>
    <row r="51" ht="16.5" spans="1:6">
      <c r="A51" s="123" t="s">
        <v>742</v>
      </c>
      <c r="B51" s="123"/>
      <c r="C51" s="123"/>
      <c r="D51" s="123"/>
      <c r="E51" s="123"/>
      <c r="F51" s="123"/>
    </row>
    <row r="52" spans="1:6">
      <c r="A52" s="84" t="s">
        <v>1377</v>
      </c>
      <c r="B52" s="119" t="s">
        <v>1409</v>
      </c>
      <c r="C52" s="119" t="s">
        <v>1410</v>
      </c>
      <c r="D52" s="119" t="s">
        <v>1411</v>
      </c>
      <c r="E52" s="120"/>
      <c r="F52" s="109"/>
    </row>
    <row r="53" ht="94.5" spans="1:6">
      <c r="A53" s="115" t="s">
        <v>815</v>
      </c>
      <c r="B53" s="89" t="s">
        <v>1424</v>
      </c>
      <c r="C53" s="89" t="s">
        <v>1442</v>
      </c>
      <c r="D53" s="102" t="s">
        <v>1443</v>
      </c>
      <c r="E53" s="102"/>
      <c r="F53" s="91" t="s">
        <v>1415</v>
      </c>
    </row>
    <row r="54" ht="31.5" spans="1:6">
      <c r="A54" s="116" t="s">
        <v>1444</v>
      </c>
      <c r="B54" s="93">
        <v>23.07</v>
      </c>
      <c r="C54" s="94">
        <v>4.55</v>
      </c>
      <c r="D54" s="95">
        <v>7.44</v>
      </c>
      <c r="E54" s="95">
        <v>5.95</v>
      </c>
      <c r="F54" s="96">
        <f>ROUND(MEDIAN(B54:E54),2)</f>
        <v>6.7</v>
      </c>
    </row>
    <row r="55" ht="16.5" spans="1:6">
      <c r="A55" s="111"/>
      <c r="B55" s="97"/>
      <c r="C55" s="112"/>
      <c r="D55" s="100"/>
      <c r="E55" s="101"/>
      <c r="F55" s="101"/>
    </row>
    <row r="56" spans="1:6">
      <c r="A56" s="84" t="s">
        <v>1378</v>
      </c>
      <c r="B56" s="119" t="s">
        <v>1409</v>
      </c>
      <c r="C56" s="119" t="s">
        <v>1410</v>
      </c>
      <c r="D56" s="119" t="s">
        <v>1411</v>
      </c>
      <c r="E56" s="120"/>
      <c r="F56" s="109"/>
    </row>
    <row r="57" ht="94.5" spans="1:6">
      <c r="A57" s="115" t="s">
        <v>815</v>
      </c>
      <c r="B57" s="89" t="s">
        <v>1424</v>
      </c>
      <c r="C57" s="89" t="s">
        <v>1442</v>
      </c>
      <c r="D57" s="102" t="s">
        <v>1443</v>
      </c>
      <c r="E57" s="102"/>
      <c r="F57" s="91" t="s">
        <v>1415</v>
      </c>
    </row>
    <row r="58" ht="47.25" spans="1:6">
      <c r="A58" s="116" t="s">
        <v>1445</v>
      </c>
      <c r="B58" s="106">
        <v>1.11</v>
      </c>
      <c r="C58" s="107">
        <v>0.42</v>
      </c>
      <c r="D58" s="108">
        <v>0.51</v>
      </c>
      <c r="E58" s="102">
        <v>0.7</v>
      </c>
      <c r="F58" s="96">
        <f>ROUND(MEDIAN(B58:E58),2)</f>
        <v>0.61</v>
      </c>
    </row>
    <row r="59" ht="16.5" spans="1:6">
      <c r="A59" s="122"/>
      <c r="B59" s="104"/>
      <c r="C59" s="104"/>
      <c r="D59" s="104"/>
      <c r="E59" s="104"/>
      <c r="F59" s="104"/>
    </row>
    <row r="60" spans="1:6">
      <c r="A60" s="84" t="s">
        <v>1379</v>
      </c>
      <c r="B60" s="119" t="s">
        <v>1409</v>
      </c>
      <c r="C60" s="119" t="s">
        <v>1410</v>
      </c>
      <c r="D60" s="119" t="s">
        <v>1411</v>
      </c>
      <c r="E60" s="120"/>
      <c r="F60" s="109"/>
    </row>
    <row r="61" ht="94.5" spans="1:6">
      <c r="A61" s="115" t="s">
        <v>815</v>
      </c>
      <c r="B61" s="89" t="s">
        <v>1413</v>
      </c>
      <c r="C61" s="89" t="s">
        <v>1442</v>
      </c>
      <c r="D61" s="102" t="s">
        <v>1443</v>
      </c>
      <c r="E61" s="102"/>
      <c r="F61" s="91" t="s">
        <v>1415</v>
      </c>
    </row>
    <row r="62" ht="31.5" spans="1:6">
      <c r="A62" s="116" t="s">
        <v>1446</v>
      </c>
      <c r="B62" s="93">
        <v>0.25</v>
      </c>
      <c r="C62" s="117">
        <f>ROUND(8.36/100,2)</f>
        <v>0.08</v>
      </c>
      <c r="D62" s="117">
        <f>ROUND(10.9/100,2)</f>
        <v>0.11</v>
      </c>
      <c r="E62" s="102">
        <v>0.09</v>
      </c>
      <c r="F62" s="96">
        <f>ROUND(MEDIAN(B62:E62),2)</f>
        <v>0.1</v>
      </c>
    </row>
    <row r="63" ht="16.5" spans="1:6">
      <c r="A63" s="122"/>
      <c r="B63" s="104"/>
      <c r="C63" s="104"/>
      <c r="D63" s="104"/>
      <c r="E63" s="104"/>
      <c r="F63" s="104"/>
    </row>
    <row r="64" spans="1:6">
      <c r="A64" s="84" t="s">
        <v>1380</v>
      </c>
      <c r="B64" s="119" t="s">
        <v>1409</v>
      </c>
      <c r="C64" s="119" t="s">
        <v>1410</v>
      </c>
      <c r="D64" s="119" t="s">
        <v>1411</v>
      </c>
      <c r="E64" s="119" t="s">
        <v>1418</v>
      </c>
      <c r="F64" s="121"/>
    </row>
    <row r="65" ht="94.5" spans="1:6">
      <c r="A65" s="115" t="s">
        <v>815</v>
      </c>
      <c r="B65" s="89" t="s">
        <v>1423</v>
      </c>
      <c r="C65" s="89" t="s">
        <v>1419</v>
      </c>
      <c r="D65" s="102" t="s">
        <v>1420</v>
      </c>
      <c r="E65" s="102" t="s">
        <v>1413</v>
      </c>
      <c r="F65" s="91" t="s">
        <v>1415</v>
      </c>
    </row>
    <row r="66" spans="1:6">
      <c r="A66" s="116" t="s">
        <v>1447</v>
      </c>
      <c r="B66" s="124">
        <v>0.21</v>
      </c>
      <c r="C66" s="124">
        <v>0.35</v>
      </c>
      <c r="D66" s="125">
        <v>0.08</v>
      </c>
      <c r="E66" s="125">
        <v>0.1</v>
      </c>
      <c r="F66" s="96">
        <f>ROUND(MEDIAN(B66:E66),2)</f>
        <v>0.16</v>
      </c>
    </row>
    <row r="67" ht="16.5" spans="1:6">
      <c r="A67" s="122"/>
      <c r="B67" s="104"/>
      <c r="C67" s="104"/>
      <c r="D67" s="104"/>
      <c r="E67" s="104"/>
      <c r="F67" s="104"/>
    </row>
    <row r="68" spans="1:6">
      <c r="A68" s="84" t="s">
        <v>1448</v>
      </c>
      <c r="B68" s="119" t="s">
        <v>1409</v>
      </c>
      <c r="C68" s="119" t="s">
        <v>1410</v>
      </c>
      <c r="D68" s="119" t="s">
        <v>1411</v>
      </c>
      <c r="E68" s="119" t="s">
        <v>1418</v>
      </c>
      <c r="F68" s="109"/>
    </row>
    <row r="69" ht="94.5" spans="1:6">
      <c r="A69" s="115" t="s">
        <v>815</v>
      </c>
      <c r="B69" s="89" t="s">
        <v>1419</v>
      </c>
      <c r="C69" s="89" t="s">
        <v>1424</v>
      </c>
      <c r="D69" s="102" t="s">
        <v>1413</v>
      </c>
      <c r="E69" s="102" t="s">
        <v>1442</v>
      </c>
      <c r="F69" s="91" t="s">
        <v>1415</v>
      </c>
    </row>
    <row r="70" ht="40.5" customHeight="1" spans="1:6">
      <c r="A70" s="116" t="s">
        <v>1449</v>
      </c>
      <c r="B70" s="110">
        <v>0.2</v>
      </c>
      <c r="C70" s="110">
        <v>0.07</v>
      </c>
      <c r="D70" s="117">
        <v>0.1</v>
      </c>
      <c r="E70" s="117">
        <f>ROUND(3.57/100,2)</f>
        <v>0.04</v>
      </c>
      <c r="F70" s="96">
        <f>ROUND(MEDIAN(B70:E70),2)</f>
        <v>0.09</v>
      </c>
    </row>
    <row r="71" ht="16.5" spans="1:6">
      <c r="A71" s="122"/>
      <c r="B71" s="104"/>
      <c r="C71" s="104"/>
      <c r="D71" s="104"/>
      <c r="E71" s="104"/>
      <c r="F71" s="104"/>
    </row>
    <row r="72" spans="1:6">
      <c r="A72" s="84" t="s">
        <v>1450</v>
      </c>
      <c r="B72" s="119" t="s">
        <v>1409</v>
      </c>
      <c r="C72" s="119" t="s">
        <v>1410</v>
      </c>
      <c r="D72" s="119" t="s">
        <v>1411</v>
      </c>
      <c r="E72" s="120"/>
      <c r="F72" s="109"/>
    </row>
    <row r="73" ht="126" spans="1:6">
      <c r="A73" s="115" t="s">
        <v>815</v>
      </c>
      <c r="B73" s="89" t="s">
        <v>1442</v>
      </c>
      <c r="C73" s="89" t="s">
        <v>1443</v>
      </c>
      <c r="D73" s="102" t="s">
        <v>1451</v>
      </c>
      <c r="E73" s="102"/>
      <c r="F73" s="91" t="s">
        <v>1415</v>
      </c>
    </row>
    <row r="74" ht="31.5" spans="1:6">
      <c r="A74" s="116" t="s">
        <v>1452</v>
      </c>
      <c r="B74" s="93">
        <v>15.34</v>
      </c>
      <c r="C74" s="94">
        <v>30.39</v>
      </c>
      <c r="D74" s="126">
        <v>5.98</v>
      </c>
      <c r="E74" s="102"/>
      <c r="F74" s="96">
        <f>ROUND(MEDIAN(B74:E74),2)</f>
        <v>15.34</v>
      </c>
    </row>
    <row r="75" ht="16.5" spans="1:6">
      <c r="A75" s="122"/>
      <c r="B75" s="101"/>
      <c r="C75" s="127"/>
      <c r="D75" s="104"/>
      <c r="E75" s="104"/>
      <c r="F75" s="104"/>
    </row>
    <row r="76" spans="1:6">
      <c r="A76" s="84" t="s">
        <v>1453</v>
      </c>
      <c r="B76" s="119" t="s">
        <v>1409</v>
      </c>
      <c r="C76" s="119" t="s">
        <v>1410</v>
      </c>
      <c r="D76" s="119" t="s">
        <v>1411</v>
      </c>
      <c r="E76" s="119" t="s">
        <v>1418</v>
      </c>
      <c r="F76" s="109"/>
    </row>
    <row r="77" ht="126" spans="1:6">
      <c r="A77" s="115" t="s">
        <v>815</v>
      </c>
      <c r="B77" s="89" t="s">
        <v>1442</v>
      </c>
      <c r="C77" s="89" t="s">
        <v>1454</v>
      </c>
      <c r="D77" s="102" t="s">
        <v>1413</v>
      </c>
      <c r="E77" s="102" t="s">
        <v>1451</v>
      </c>
      <c r="F77" s="91" t="s">
        <v>1415</v>
      </c>
    </row>
    <row r="78" ht="31.5" spans="1:6">
      <c r="A78" s="116" t="s">
        <v>1455</v>
      </c>
      <c r="B78" s="93">
        <v>13.16</v>
      </c>
      <c r="C78" s="94">
        <v>26.77</v>
      </c>
      <c r="D78" s="128">
        <v>26</v>
      </c>
      <c r="E78" s="102">
        <v>5.13</v>
      </c>
      <c r="F78" s="96">
        <f>ROUND(MEDIAN(B78:E78),2)</f>
        <v>19.58</v>
      </c>
    </row>
    <row r="79" ht="16.5" spans="1:6">
      <c r="A79" s="129"/>
      <c r="B79" s="130"/>
      <c r="C79" s="131"/>
      <c r="D79" s="104"/>
      <c r="E79" s="104"/>
      <c r="F79" s="104"/>
    </row>
    <row r="80" spans="1:6">
      <c r="A80" s="84" t="s">
        <v>1456</v>
      </c>
      <c r="B80" s="119" t="s">
        <v>1409</v>
      </c>
      <c r="C80" s="119" t="s">
        <v>1410</v>
      </c>
      <c r="D80" s="119" t="s">
        <v>1411</v>
      </c>
      <c r="E80" s="120"/>
      <c r="F80" s="109"/>
    </row>
    <row r="81" ht="126" spans="1:6">
      <c r="A81" s="115" t="s">
        <v>815</v>
      </c>
      <c r="B81" s="89" t="s">
        <v>1442</v>
      </c>
      <c r="C81" s="89" t="s">
        <v>1454</v>
      </c>
      <c r="D81" s="102" t="s">
        <v>1451</v>
      </c>
      <c r="E81" s="102"/>
      <c r="F81" s="91" t="s">
        <v>1415</v>
      </c>
    </row>
    <row r="82" ht="39" customHeight="1" spans="1:6">
      <c r="A82" s="116" t="s">
        <v>1457</v>
      </c>
      <c r="B82" s="93">
        <v>8.62</v>
      </c>
      <c r="C82" s="94">
        <v>11.61</v>
      </c>
      <c r="D82" s="102">
        <v>9.88</v>
      </c>
      <c r="E82" s="102"/>
      <c r="F82" s="96">
        <f>ROUND(MEDIAN(B82:E82),2)</f>
        <v>9.88</v>
      </c>
    </row>
    <row r="83" ht="16.5" spans="1:6">
      <c r="A83" s="122"/>
      <c r="B83" s="101"/>
      <c r="C83" s="127"/>
      <c r="D83" s="104"/>
      <c r="E83" s="104"/>
      <c r="F83" s="104"/>
    </row>
    <row r="84" spans="1:6">
      <c r="A84" s="84" t="s">
        <v>1458</v>
      </c>
      <c r="B84" s="119" t="s">
        <v>1409</v>
      </c>
      <c r="C84" s="119" t="s">
        <v>1410</v>
      </c>
      <c r="D84" s="119" t="s">
        <v>1411</v>
      </c>
      <c r="E84" s="119" t="s">
        <v>1418</v>
      </c>
      <c r="F84" s="109"/>
    </row>
    <row r="85" ht="110.25" spans="1:6">
      <c r="A85" s="115" t="s">
        <v>815</v>
      </c>
      <c r="B85" s="89" t="s">
        <v>1442</v>
      </c>
      <c r="C85" s="89" t="s">
        <v>1454</v>
      </c>
      <c r="D85" s="102" t="s">
        <v>1424</v>
      </c>
      <c r="E85" s="102" t="s">
        <v>1413</v>
      </c>
      <c r="F85" s="91" t="s">
        <v>1415</v>
      </c>
    </row>
    <row r="86" ht="31.5" spans="1:6">
      <c r="A86" s="116" t="s">
        <v>1459</v>
      </c>
      <c r="B86" s="110">
        <v>7.46</v>
      </c>
      <c r="C86" s="110">
        <v>10.47</v>
      </c>
      <c r="D86" s="117">
        <v>13.86</v>
      </c>
      <c r="E86" s="117">
        <v>15</v>
      </c>
      <c r="F86" s="96">
        <f>ROUND(MEDIAN(B86:E86),2)</f>
        <v>12.17</v>
      </c>
    </row>
    <row r="87" ht="16.5" spans="1:6">
      <c r="A87" s="122"/>
      <c r="B87" s="101"/>
      <c r="C87" s="127"/>
      <c r="D87" s="104"/>
      <c r="E87" s="104"/>
      <c r="F87" s="104"/>
    </row>
    <row r="88" spans="1:6">
      <c r="A88" s="84" t="s">
        <v>1460</v>
      </c>
      <c r="B88" s="119" t="s">
        <v>1409</v>
      </c>
      <c r="C88" s="119" t="s">
        <v>1410</v>
      </c>
      <c r="D88" s="119" t="s">
        <v>1411</v>
      </c>
      <c r="E88" s="119" t="s">
        <v>1418</v>
      </c>
      <c r="F88" s="109"/>
    </row>
    <row r="89" ht="126" spans="1:6">
      <c r="A89" s="115" t="s">
        <v>815</v>
      </c>
      <c r="B89" s="89" t="s">
        <v>1442</v>
      </c>
      <c r="C89" s="89" t="s">
        <v>1454</v>
      </c>
      <c r="D89" s="102" t="s">
        <v>1424</v>
      </c>
      <c r="E89" s="102" t="s">
        <v>1451</v>
      </c>
      <c r="F89" s="91" t="s">
        <v>1415</v>
      </c>
    </row>
    <row r="90" ht="31.5" spans="1:6">
      <c r="A90" s="116" t="s">
        <v>1461</v>
      </c>
      <c r="B90" s="93">
        <v>3.11</v>
      </c>
      <c r="C90" s="94">
        <v>6.05</v>
      </c>
      <c r="D90" s="95">
        <v>7.89</v>
      </c>
      <c r="E90" s="102">
        <v>5.79</v>
      </c>
      <c r="F90" s="96">
        <f>ROUND(MEDIAN(B90:E90),2)</f>
        <v>5.92</v>
      </c>
    </row>
    <row r="91" ht="16.5" spans="1:6">
      <c r="A91" s="111"/>
      <c r="B91" s="122"/>
      <c r="C91" s="112"/>
      <c r="D91" s="100"/>
      <c r="E91" s="101"/>
      <c r="F91" s="132"/>
    </row>
    <row r="92" spans="1:6">
      <c r="A92" s="84" t="s">
        <v>1462</v>
      </c>
      <c r="B92" s="119" t="s">
        <v>1409</v>
      </c>
      <c r="C92" s="119" t="s">
        <v>1410</v>
      </c>
      <c r="D92" s="119" t="s">
        <v>1411</v>
      </c>
      <c r="E92" s="120"/>
      <c r="F92" s="109"/>
    </row>
    <row r="93" ht="126" spans="1:6">
      <c r="A93" s="115" t="s">
        <v>815</v>
      </c>
      <c r="B93" s="89" t="s">
        <v>1442</v>
      </c>
      <c r="C93" s="89" t="s">
        <v>1454</v>
      </c>
      <c r="D93" s="102" t="s">
        <v>1451</v>
      </c>
      <c r="E93" s="102"/>
      <c r="F93" s="91" t="s">
        <v>1415</v>
      </c>
    </row>
    <row r="94" ht="31.5" spans="1:6">
      <c r="A94" s="116" t="s">
        <v>1463</v>
      </c>
      <c r="B94" s="93">
        <v>4.06</v>
      </c>
      <c r="C94" s="94">
        <v>6.6</v>
      </c>
      <c r="D94" s="102">
        <v>6.8</v>
      </c>
      <c r="E94" s="102"/>
      <c r="F94" s="96">
        <f>ROUND(MEDIAN(B94:E94),2)</f>
        <v>6.6</v>
      </c>
    </row>
    <row r="95" ht="16.5" spans="1:6">
      <c r="A95" s="111"/>
      <c r="B95" s="122"/>
      <c r="C95" s="112"/>
      <c r="D95" s="100"/>
      <c r="E95" s="101"/>
      <c r="F95" s="132"/>
    </row>
    <row r="96" spans="1:6">
      <c r="A96" s="84" t="s">
        <v>1464</v>
      </c>
      <c r="B96" s="119" t="s">
        <v>1409</v>
      </c>
      <c r="C96" s="119" t="s">
        <v>1410</v>
      </c>
      <c r="D96" s="119" t="s">
        <v>1411</v>
      </c>
      <c r="E96" s="120"/>
      <c r="F96" s="109"/>
    </row>
    <row r="97" ht="126" spans="1:6">
      <c r="A97" s="115" t="s">
        <v>815</v>
      </c>
      <c r="B97" s="89" t="s">
        <v>1442</v>
      </c>
      <c r="C97" s="89" t="s">
        <v>1454</v>
      </c>
      <c r="D97" s="102" t="s">
        <v>1451</v>
      </c>
      <c r="E97" s="102"/>
      <c r="F97" s="91" t="s">
        <v>1415</v>
      </c>
    </row>
    <row r="98" ht="31.5" spans="1:6">
      <c r="A98" s="116" t="s">
        <v>1465</v>
      </c>
      <c r="B98" s="93">
        <v>3.84</v>
      </c>
      <c r="C98" s="94">
        <v>9.13</v>
      </c>
      <c r="D98" s="102">
        <v>8.78</v>
      </c>
      <c r="E98" s="102"/>
      <c r="F98" s="96">
        <f>ROUND(MEDIAN(B98:E98),2)</f>
        <v>8.78</v>
      </c>
    </row>
    <row r="99" ht="16.5" spans="1:6">
      <c r="A99" s="111"/>
      <c r="B99" s="122"/>
      <c r="C99" s="112"/>
      <c r="D99" s="100"/>
      <c r="E99" s="101"/>
      <c r="F99" s="132"/>
    </row>
    <row r="100" spans="1:6">
      <c r="A100" s="84" t="s">
        <v>1466</v>
      </c>
      <c r="B100" s="119" t="s">
        <v>1409</v>
      </c>
      <c r="C100" s="119" t="s">
        <v>1410</v>
      </c>
      <c r="D100" s="119" t="s">
        <v>1411</v>
      </c>
      <c r="E100" s="120"/>
      <c r="F100" s="109"/>
    </row>
    <row r="101" ht="126" spans="1:6">
      <c r="A101" s="115" t="s">
        <v>815</v>
      </c>
      <c r="B101" s="89" t="s">
        <v>1442</v>
      </c>
      <c r="C101" s="89" t="s">
        <v>1454</v>
      </c>
      <c r="D101" s="102" t="s">
        <v>1451</v>
      </c>
      <c r="E101" s="102"/>
      <c r="F101" s="91" t="s">
        <v>1415</v>
      </c>
    </row>
    <row r="102" ht="33.75" customHeight="1" spans="1:6">
      <c r="A102" s="116" t="s">
        <v>1467</v>
      </c>
      <c r="B102" s="93">
        <v>1.04</v>
      </c>
      <c r="C102" s="94">
        <v>1.77</v>
      </c>
      <c r="D102" s="102">
        <v>0.67</v>
      </c>
      <c r="E102" s="102"/>
      <c r="F102" s="96">
        <f>ROUND(MEDIAN(B102:E102),2)</f>
        <v>1.04</v>
      </c>
    </row>
    <row r="103" ht="16.5" spans="1:6">
      <c r="A103" s="111"/>
      <c r="B103" s="122"/>
      <c r="C103" s="112"/>
      <c r="D103" s="100"/>
      <c r="E103" s="101"/>
      <c r="F103" s="132"/>
    </row>
    <row r="104" spans="1:6">
      <c r="A104" s="84" t="s">
        <v>1468</v>
      </c>
      <c r="B104" s="119" t="s">
        <v>1409</v>
      </c>
      <c r="C104" s="119" t="s">
        <v>1410</v>
      </c>
      <c r="D104" s="119" t="s">
        <v>1411</v>
      </c>
      <c r="E104" s="120"/>
      <c r="F104" s="109"/>
    </row>
    <row r="105" ht="126" spans="1:6">
      <c r="A105" s="115" t="s">
        <v>815</v>
      </c>
      <c r="B105" s="89" t="s">
        <v>1442</v>
      </c>
      <c r="C105" s="89" t="s">
        <v>1454</v>
      </c>
      <c r="D105" s="102" t="s">
        <v>1451</v>
      </c>
      <c r="E105" s="102"/>
      <c r="F105" s="91" t="s">
        <v>1415</v>
      </c>
    </row>
    <row r="106" ht="31.5" spans="1:6">
      <c r="A106" s="116" t="s">
        <v>1469</v>
      </c>
      <c r="B106" s="93">
        <v>1.02</v>
      </c>
      <c r="C106" s="94">
        <v>1.21</v>
      </c>
      <c r="D106" s="102">
        <v>0.91</v>
      </c>
      <c r="E106" s="102"/>
      <c r="F106" s="96">
        <f>ROUND(MEDIAN(B106:E106),2)</f>
        <v>1.02</v>
      </c>
    </row>
    <row r="107" spans="1:6">
      <c r="A107" s="111"/>
      <c r="B107" s="122"/>
      <c r="C107" s="112"/>
      <c r="D107" s="100"/>
      <c r="E107" s="101"/>
      <c r="F107" s="132"/>
    </row>
    <row r="108" ht="16.5" spans="1:6">
      <c r="A108" s="81" t="s">
        <v>1470</v>
      </c>
      <c r="B108" s="82"/>
      <c r="C108" s="82"/>
      <c r="D108" s="82"/>
      <c r="E108" s="82"/>
      <c r="F108" s="83"/>
    </row>
    <row r="109" spans="1:6">
      <c r="A109" s="84" t="s">
        <v>1471</v>
      </c>
      <c r="B109" s="119" t="s">
        <v>1409</v>
      </c>
      <c r="C109" s="119" t="s">
        <v>1410</v>
      </c>
      <c r="D109" s="120"/>
      <c r="E109" s="120"/>
      <c r="F109" s="109"/>
    </row>
    <row r="110" ht="111.75" customHeight="1" spans="1:6">
      <c r="A110" s="115" t="s">
        <v>815</v>
      </c>
      <c r="B110" s="89" t="s">
        <v>1472</v>
      </c>
      <c r="C110" s="89" t="s">
        <v>1473</v>
      </c>
      <c r="D110" s="102"/>
      <c r="E110" s="102"/>
      <c r="F110" s="91" t="s">
        <v>1415</v>
      </c>
    </row>
    <row r="111" ht="47.25" spans="1:6">
      <c r="A111" s="116" t="s">
        <v>1474</v>
      </c>
      <c r="B111" s="93">
        <f>ROUND(64.36+0.5409*15.83,2)</f>
        <v>72.92</v>
      </c>
      <c r="C111" s="94">
        <v>95</v>
      </c>
      <c r="D111" s="102"/>
      <c r="E111" s="102"/>
      <c r="F111" s="96">
        <f>ROUND(MEDIAN(B111:E111),2)</f>
        <v>83.96</v>
      </c>
    </row>
    <row r="113" spans="1:6">
      <c r="A113" s="84" t="s">
        <v>758</v>
      </c>
      <c r="B113" s="119" t="s">
        <v>1409</v>
      </c>
      <c r="C113" s="119" t="s">
        <v>1410</v>
      </c>
      <c r="D113" s="119" t="s">
        <v>1411</v>
      </c>
      <c r="E113" s="120"/>
      <c r="F113" s="109"/>
    </row>
    <row r="114" ht="126" spans="1:6">
      <c r="A114" s="115" t="s">
        <v>815</v>
      </c>
      <c r="B114" s="89" t="s">
        <v>1475</v>
      </c>
      <c r="C114" s="89" t="s">
        <v>1476</v>
      </c>
      <c r="D114" s="102" t="s">
        <v>1477</v>
      </c>
      <c r="E114" s="102"/>
      <c r="F114" s="91" t="s">
        <v>1415</v>
      </c>
    </row>
    <row r="115" spans="1:6">
      <c r="A115" s="116" t="s">
        <v>744</v>
      </c>
      <c r="B115" s="94">
        <v>55479</v>
      </c>
      <c r="C115" s="94">
        <v>75600</v>
      </c>
      <c r="D115" s="94">
        <v>62537</v>
      </c>
      <c r="E115" s="102"/>
      <c r="F115" s="96">
        <f>ROUND(MEDIAN(B115:E115),2)</f>
        <v>62537</v>
      </c>
    </row>
    <row r="117" spans="1:6">
      <c r="A117" s="84" t="s">
        <v>765</v>
      </c>
      <c r="B117" s="119" t="s">
        <v>1409</v>
      </c>
      <c r="C117" s="119" t="s">
        <v>1410</v>
      </c>
      <c r="D117" s="119" t="s">
        <v>1411</v>
      </c>
      <c r="E117" s="120"/>
      <c r="F117" s="109"/>
    </row>
    <row r="118" ht="78.75" spans="1:6">
      <c r="A118" s="115" t="s">
        <v>815</v>
      </c>
      <c r="B118" s="89" t="s">
        <v>1478</v>
      </c>
      <c r="C118" s="89" t="s">
        <v>1479</v>
      </c>
      <c r="D118" s="102" t="s">
        <v>1480</v>
      </c>
      <c r="E118" s="102"/>
      <c r="F118" s="91" t="s">
        <v>1415</v>
      </c>
    </row>
    <row r="119" ht="78.75" spans="1:6">
      <c r="A119" s="116" t="s">
        <v>1481</v>
      </c>
      <c r="B119" s="94">
        <v>8750.42</v>
      </c>
      <c r="C119" s="94">
        <v>11375</v>
      </c>
      <c r="D119" s="94">
        <v>6350</v>
      </c>
      <c r="E119" s="102"/>
      <c r="F119" s="96">
        <f>ROUND(MEDIAN(B119:E119),2)</f>
        <v>8750.42</v>
      </c>
    </row>
  </sheetData>
  <mergeCells count="5">
    <mergeCell ref="A1:F1"/>
    <mergeCell ref="A3:F3"/>
    <mergeCell ref="A6:F6"/>
    <mergeCell ref="A51:F51"/>
    <mergeCell ref="A108:F108"/>
  </mergeCells>
  <printOptions horizontalCentered="1" verticalCentered="1"/>
  <pageMargins left="0.511805555555556" right="0.511805555555556" top="0.786805555555556" bottom="0.786805555555556" header="0.313888888888889" footer="0.313888888888889"/>
  <pageSetup paperSize="9" scale="47" orientation="landscape"/>
  <headerFooter>
    <oddHeader>&amp;C&amp;G
DEFENSORIA PÚBLICA DO ESTADO DE RORAIMA
“Amazônia: Patrimônio dos brasileiros”
____________________________________________________________________________________________________</oddHeader>
  </headerFooter>
  <rowBreaks count="5" manualBreakCount="5">
    <brk id="26" max="16383" man="1"/>
    <brk id="46" max="16383" man="1"/>
    <brk id="63" max="16383" man="1"/>
    <brk id="86" max="16383" man="1"/>
    <brk id="107" max="16383" man="1"/>
  </rowBreaks>
  <legacyDrawingHF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3"/>
  <sheetViews>
    <sheetView view="pageBreakPreview" zoomScale="85" zoomScaleNormal="100" zoomScaleSheetLayoutView="85" topLeftCell="A20" workbookViewId="0">
      <selection activeCell="I23" sqref="I23"/>
    </sheetView>
  </sheetViews>
  <sheetFormatPr defaultColWidth="9" defaultRowHeight="15"/>
  <cols>
    <col min="1" max="1" width="9" style="19"/>
    <col min="2" max="3" width="16.4285714285714" style="19" customWidth="1"/>
    <col min="4" max="4" width="14.8571428571429" style="19" customWidth="1"/>
    <col min="5" max="5" width="6.57142857142857" style="19" customWidth="1"/>
    <col min="6" max="6" width="10.8571428571429" style="19" customWidth="1"/>
    <col min="7" max="7" width="9.28571428571429" style="19" customWidth="1"/>
    <col min="8" max="8" width="10.8571428571429" style="19" customWidth="1"/>
    <col min="9" max="9" width="21.4285714285714" style="19" customWidth="1"/>
  </cols>
  <sheetData>
    <row r="1" ht="16.5" spans="1:9">
      <c r="A1" s="20" t="s">
        <v>1482</v>
      </c>
      <c r="B1" s="21"/>
      <c r="C1" s="21"/>
      <c r="D1" s="21"/>
      <c r="E1" s="21"/>
      <c r="F1" s="21"/>
      <c r="G1" s="21"/>
      <c r="H1" s="21"/>
      <c r="I1" s="62"/>
    </row>
    <row r="2" ht="32.25" customHeight="1" spans="1:9">
      <c r="A2" s="69" t="str">
        <f>'PB III - Orçamento Sintetico'!A4:G4</f>
        <v>OBRA: CONSTRUÇÃO DA SEDE DA DEFENSORIA PÚBLICA DO ESTADO DE RORAIMA NO MUNICIPIO DO BONFIM - DPE/RR</v>
      </c>
      <c r="B2" s="70"/>
      <c r="C2" s="70"/>
      <c r="D2" s="70"/>
      <c r="E2" s="70"/>
      <c r="F2" s="70"/>
      <c r="G2" s="70"/>
      <c r="H2" s="70"/>
      <c r="I2" s="71"/>
    </row>
    <row r="3" ht="15.75" spans="1:9">
      <c r="A3" s="24"/>
      <c r="B3" s="25"/>
      <c r="C3" s="25"/>
      <c r="D3" s="25"/>
      <c r="E3" s="25"/>
      <c r="F3" s="25"/>
      <c r="G3" s="25"/>
      <c r="H3" s="25"/>
      <c r="I3" s="64"/>
    </row>
    <row r="4" ht="15.75" spans="1:9">
      <c r="A4" s="26" t="s">
        <v>1483</v>
      </c>
      <c r="B4" s="26"/>
      <c r="C4" s="26"/>
      <c r="D4" s="26"/>
      <c r="E4" s="26"/>
      <c r="F4" s="26"/>
      <c r="G4" s="26"/>
      <c r="H4" s="26"/>
      <c r="I4" s="26"/>
    </row>
    <row r="5" spans="1:9">
      <c r="A5" s="27"/>
      <c r="B5" s="27"/>
      <c r="C5" s="27"/>
      <c r="D5" s="27"/>
      <c r="E5" s="27"/>
      <c r="F5" s="27"/>
      <c r="G5" s="27"/>
      <c r="H5" s="27"/>
      <c r="I5" s="27"/>
    </row>
    <row r="6" ht="15.75" spans="1:9">
      <c r="A6" s="28"/>
      <c r="B6" s="28"/>
      <c r="C6" s="28"/>
      <c r="D6" s="28"/>
      <c r="E6" s="28"/>
      <c r="F6" s="29"/>
      <c r="G6" s="29"/>
      <c r="H6" s="28"/>
      <c r="I6" s="29"/>
    </row>
    <row r="7" ht="15.75" spans="1:9">
      <c r="A7" s="30" t="s">
        <v>1484</v>
      </c>
      <c r="B7" s="30"/>
      <c r="C7" s="30"/>
      <c r="D7" s="30"/>
      <c r="E7" s="30"/>
      <c r="F7" s="30" t="s">
        <v>1485</v>
      </c>
      <c r="G7" s="30"/>
      <c r="H7" s="30"/>
      <c r="I7" s="65" t="s">
        <v>1486</v>
      </c>
    </row>
    <row r="8" ht="15.75" spans="1:9">
      <c r="A8" s="30"/>
      <c r="B8" s="30"/>
      <c r="C8" s="30"/>
      <c r="D8" s="30"/>
      <c r="E8" s="30"/>
      <c r="F8" s="31" t="s">
        <v>1487</v>
      </c>
      <c r="G8" s="31" t="s">
        <v>1488</v>
      </c>
      <c r="H8" s="31" t="s">
        <v>1489</v>
      </c>
      <c r="I8" s="65"/>
    </row>
    <row r="9" ht="15.75" spans="1:9">
      <c r="A9" s="30" t="s">
        <v>1490</v>
      </c>
      <c r="B9" s="32" t="s">
        <v>1491</v>
      </c>
      <c r="C9" s="32"/>
      <c r="D9" s="32"/>
      <c r="E9" s="32"/>
      <c r="F9" s="33">
        <v>0.03</v>
      </c>
      <c r="G9" s="34">
        <v>0.04</v>
      </c>
      <c r="H9" s="33">
        <v>0.055</v>
      </c>
      <c r="I9" s="33">
        <f>G9</f>
        <v>0.04</v>
      </c>
    </row>
    <row r="10" ht="15.75" spans="1:9">
      <c r="A10" s="30"/>
      <c r="B10" s="35" t="s">
        <v>1492</v>
      </c>
      <c r="C10" s="35"/>
      <c r="D10" s="35"/>
      <c r="E10" s="35"/>
      <c r="F10" s="33">
        <v>0.008</v>
      </c>
      <c r="G10" s="34">
        <v>0.008</v>
      </c>
      <c r="H10" s="33">
        <v>0.01</v>
      </c>
      <c r="I10" s="33">
        <f>G10</f>
        <v>0.008</v>
      </c>
    </row>
    <row r="11" ht="15.75" spans="1:9">
      <c r="A11" s="30"/>
      <c r="B11" s="35" t="s">
        <v>1493</v>
      </c>
      <c r="C11" s="35"/>
      <c r="D11" s="35"/>
      <c r="E11" s="35"/>
      <c r="F11" s="33">
        <v>0.0097</v>
      </c>
      <c r="G11" s="34">
        <v>0.0127</v>
      </c>
      <c r="H11" s="33">
        <v>0.0127</v>
      </c>
      <c r="I11" s="33">
        <f>G11</f>
        <v>0.0127</v>
      </c>
    </row>
    <row r="12" ht="15.75" spans="1:9">
      <c r="A12" s="30"/>
      <c r="B12" s="36" t="s">
        <v>1094</v>
      </c>
      <c r="C12" s="36"/>
      <c r="D12" s="36"/>
      <c r="E12" s="36"/>
      <c r="F12" s="36"/>
      <c r="G12" s="36"/>
      <c r="H12" s="36"/>
      <c r="I12" s="39">
        <f>SUM(I9:I11)</f>
        <v>0.0607</v>
      </c>
    </row>
    <row r="13" ht="15.75" spans="1:9">
      <c r="A13" s="30" t="s">
        <v>1494</v>
      </c>
      <c r="B13" s="32" t="s">
        <v>1495</v>
      </c>
      <c r="C13" s="32"/>
      <c r="D13" s="32"/>
      <c r="E13" s="32"/>
      <c r="F13" s="33">
        <v>0.0059</v>
      </c>
      <c r="G13" s="34">
        <v>0.0123</v>
      </c>
      <c r="H13" s="33">
        <v>0.0139</v>
      </c>
      <c r="I13" s="38">
        <f>G13</f>
        <v>0.0123</v>
      </c>
    </row>
    <row r="14" ht="15.75" spans="1:9">
      <c r="A14" s="30"/>
      <c r="B14" s="36" t="s">
        <v>1094</v>
      </c>
      <c r="C14" s="36"/>
      <c r="D14" s="36"/>
      <c r="E14" s="36"/>
      <c r="F14" s="36"/>
      <c r="G14" s="36"/>
      <c r="H14" s="36"/>
      <c r="I14" s="39">
        <f>I13</f>
        <v>0.0123</v>
      </c>
    </row>
    <row r="15" ht="15.75" spans="1:9">
      <c r="A15" s="30" t="s">
        <v>1496</v>
      </c>
      <c r="B15" s="32" t="s">
        <v>1497</v>
      </c>
      <c r="C15" s="32"/>
      <c r="D15" s="32"/>
      <c r="E15" s="32"/>
      <c r="F15" s="33">
        <v>0.0616</v>
      </c>
      <c r="G15" s="34">
        <v>0.074</v>
      </c>
      <c r="H15" s="33">
        <v>0.0896</v>
      </c>
      <c r="I15" s="38">
        <f>G15</f>
        <v>0.074</v>
      </c>
    </row>
    <row r="16" ht="15.75" spans="1:9">
      <c r="A16" s="30"/>
      <c r="B16" s="36" t="s">
        <v>1094</v>
      </c>
      <c r="C16" s="36"/>
      <c r="D16" s="36"/>
      <c r="E16" s="36"/>
      <c r="F16" s="36"/>
      <c r="G16" s="36"/>
      <c r="H16" s="36"/>
      <c r="I16" s="39">
        <f>I15</f>
        <v>0.074</v>
      </c>
    </row>
    <row r="17" ht="15.75" spans="1:9">
      <c r="A17" s="30" t="s">
        <v>12</v>
      </c>
      <c r="B17" s="37" t="s">
        <v>1498</v>
      </c>
      <c r="C17" s="37"/>
      <c r="D17" s="37"/>
      <c r="E17" s="37"/>
      <c r="F17" s="37"/>
      <c r="G17" s="37"/>
      <c r="H17" s="37"/>
      <c r="I17" s="66"/>
    </row>
    <row r="18" ht="15.75" spans="1:9">
      <c r="A18" s="30"/>
      <c r="B18" s="35" t="s">
        <v>1499</v>
      </c>
      <c r="C18" s="35"/>
      <c r="D18" s="35"/>
      <c r="E18" s="35"/>
      <c r="F18" s="38">
        <v>0.03</v>
      </c>
      <c r="G18" s="39">
        <v>0.03</v>
      </c>
      <c r="H18" s="38">
        <v>0.03</v>
      </c>
      <c r="I18" s="38">
        <f>G18</f>
        <v>0.03</v>
      </c>
    </row>
    <row r="19" ht="15.75" spans="1:9">
      <c r="A19" s="30"/>
      <c r="B19" s="35" t="s">
        <v>1500</v>
      </c>
      <c r="C19" s="35"/>
      <c r="D19" s="35"/>
      <c r="E19" s="35"/>
      <c r="F19" s="38">
        <v>0.0065</v>
      </c>
      <c r="G19" s="39">
        <v>0.0065</v>
      </c>
      <c r="H19" s="38">
        <v>0.0065</v>
      </c>
      <c r="I19" s="38">
        <f>G19</f>
        <v>0.0065</v>
      </c>
    </row>
    <row r="20" ht="15.75" spans="1:9">
      <c r="A20" s="30"/>
      <c r="B20" s="35" t="s">
        <v>1501</v>
      </c>
      <c r="C20" s="35"/>
      <c r="D20" s="35"/>
      <c r="E20" s="35"/>
      <c r="F20" s="38">
        <v>0.02</v>
      </c>
      <c r="G20" s="39">
        <v>0.025</v>
      </c>
      <c r="H20" s="38">
        <v>0.05</v>
      </c>
      <c r="I20" s="38">
        <f>G20</f>
        <v>0.025</v>
      </c>
    </row>
    <row r="21" ht="15.75" spans="1:9">
      <c r="A21" s="30"/>
      <c r="B21" s="35" t="s">
        <v>1502</v>
      </c>
      <c r="C21" s="35"/>
      <c r="D21" s="35"/>
      <c r="E21" s="35"/>
      <c r="F21" s="38">
        <v>0.045</v>
      </c>
      <c r="G21" s="39">
        <v>0.045</v>
      </c>
      <c r="H21" s="38">
        <v>0.045</v>
      </c>
      <c r="I21" s="38">
        <f>G21</f>
        <v>0.045</v>
      </c>
    </row>
    <row r="22" ht="15.75" spans="1:9">
      <c r="A22" s="30"/>
      <c r="B22" s="36" t="s">
        <v>1094</v>
      </c>
      <c r="C22" s="36"/>
      <c r="D22" s="36"/>
      <c r="E22" s="36"/>
      <c r="F22" s="36"/>
      <c r="G22" s="36"/>
      <c r="H22" s="36"/>
      <c r="I22" s="67">
        <f>SUM(I18:I21)</f>
        <v>0.1065</v>
      </c>
    </row>
    <row r="23" ht="15.75" spans="1:9">
      <c r="A23" s="40" t="s">
        <v>1503</v>
      </c>
      <c r="B23" s="40"/>
      <c r="C23" s="40"/>
      <c r="D23" s="40"/>
      <c r="E23" s="40"/>
      <c r="F23" s="40"/>
      <c r="G23" s="40"/>
      <c r="H23" s="40"/>
      <c r="I23" s="68">
        <f>ROUND(F47,4)</f>
        <v>0.2907</v>
      </c>
    </row>
    <row r="24" ht="15.75" spans="1:9">
      <c r="A24" s="28"/>
      <c r="B24" s="28"/>
      <c r="C24" s="28"/>
      <c r="D24" s="28"/>
      <c r="E24" s="28"/>
      <c r="F24" s="29"/>
      <c r="G24" s="29"/>
      <c r="H24" s="28"/>
      <c r="I24" s="29"/>
    </row>
    <row r="25" ht="15.75" spans="1:9">
      <c r="A25" s="31" t="s">
        <v>1504</v>
      </c>
      <c r="B25" s="31"/>
      <c r="C25" s="31"/>
      <c r="D25" s="31"/>
      <c r="E25" s="31"/>
      <c r="F25" s="31" t="s">
        <v>1505</v>
      </c>
      <c r="G25" s="31"/>
      <c r="H25" s="31"/>
      <c r="I25" s="31"/>
    </row>
    <row r="26" ht="15.75" spans="1:5">
      <c r="A26" s="41" t="s">
        <v>1506</v>
      </c>
      <c r="B26" s="42" t="s">
        <v>1507</v>
      </c>
      <c r="C26" s="42"/>
      <c r="D26" s="42"/>
      <c r="E26" s="42"/>
    </row>
    <row r="27" ht="15.75" spans="1:5">
      <c r="A27" s="43" t="s">
        <v>1508</v>
      </c>
      <c r="B27" s="44" t="s">
        <v>1509</v>
      </c>
      <c r="C27" s="44"/>
      <c r="D27" s="44"/>
      <c r="E27" s="44"/>
    </row>
    <row r="28" ht="15.75" spans="1:5">
      <c r="A28" s="43" t="s">
        <v>1510</v>
      </c>
      <c r="B28" s="44" t="s">
        <v>1497</v>
      </c>
      <c r="C28" s="44"/>
      <c r="D28" s="44"/>
      <c r="E28" s="44"/>
    </row>
    <row r="29" ht="15.75" spans="1:5">
      <c r="A29" s="43" t="s">
        <v>1511</v>
      </c>
      <c r="B29" s="44" t="s">
        <v>1512</v>
      </c>
      <c r="C29" s="44"/>
      <c r="D29" s="44"/>
      <c r="E29" s="44"/>
    </row>
    <row r="30" ht="15.75" spans="1:5">
      <c r="A30" s="28"/>
      <c r="B30" s="28"/>
      <c r="C30" s="28"/>
      <c r="D30" s="28"/>
      <c r="E30" s="28"/>
    </row>
    <row r="31" ht="15.75" spans="1:9">
      <c r="A31" s="45" t="s">
        <v>1513</v>
      </c>
      <c r="B31" s="46" t="s">
        <v>1514</v>
      </c>
      <c r="C31" s="46" t="s">
        <v>1515</v>
      </c>
      <c r="D31" s="46" t="s">
        <v>1516</v>
      </c>
      <c r="E31" s="47" t="s">
        <v>1517</v>
      </c>
      <c r="F31" s="29"/>
      <c r="G31" s="29"/>
      <c r="H31" s="28"/>
      <c r="I31" s="29"/>
    </row>
    <row r="32" ht="15.75" spans="1:9">
      <c r="A32" s="45"/>
      <c r="B32" s="48"/>
      <c r="C32" s="48" t="s">
        <v>1518</v>
      </c>
      <c r="D32" s="48"/>
      <c r="E32" s="47"/>
      <c r="F32" s="29"/>
      <c r="G32" s="29"/>
      <c r="H32" s="28"/>
      <c r="I32" s="29"/>
    </row>
    <row r="33" ht="15.75" spans="1:9">
      <c r="A33" s="28"/>
      <c r="B33" s="28"/>
      <c r="C33" s="28"/>
      <c r="D33" s="28"/>
      <c r="E33" s="28"/>
      <c r="F33" s="29"/>
      <c r="G33" s="29"/>
      <c r="H33" s="28"/>
      <c r="I33" s="29"/>
    </row>
    <row r="34" ht="15.75" spans="1:9">
      <c r="A34" s="28"/>
      <c r="B34" s="28"/>
      <c r="C34" s="28"/>
      <c r="D34" s="28"/>
      <c r="E34" s="28"/>
      <c r="F34" s="29"/>
      <c r="G34" s="29"/>
      <c r="H34" s="28"/>
      <c r="I34" s="29"/>
    </row>
    <row r="35" ht="15.75" spans="1:9">
      <c r="A35" s="45" t="s">
        <v>1513</v>
      </c>
      <c r="B35" s="49">
        <f>I12</f>
        <v>0.0607</v>
      </c>
      <c r="C35" s="49">
        <f>I14</f>
        <v>0.0123</v>
      </c>
      <c r="D35" s="50">
        <f>I16</f>
        <v>0.074</v>
      </c>
      <c r="E35" s="47" t="s">
        <v>1517</v>
      </c>
      <c r="F35" s="29"/>
      <c r="G35" s="29"/>
      <c r="H35" s="28"/>
      <c r="I35" s="29"/>
    </row>
    <row r="36" ht="15.75" spans="1:9">
      <c r="A36" s="45"/>
      <c r="B36" s="48"/>
      <c r="C36" s="51">
        <f>I22</f>
        <v>0.1065</v>
      </c>
      <c r="D36" s="48"/>
      <c r="E36" s="47"/>
      <c r="F36" s="29"/>
      <c r="G36" s="29"/>
      <c r="H36" s="28"/>
      <c r="I36" s="29"/>
    </row>
    <row r="37" ht="15.75" spans="1:9">
      <c r="A37" s="28"/>
      <c r="B37" s="28"/>
      <c r="C37" s="28"/>
      <c r="D37" s="28"/>
      <c r="E37" s="28"/>
      <c r="F37" s="29"/>
      <c r="G37" s="29"/>
      <c r="H37" s="28"/>
      <c r="I37" s="29"/>
    </row>
    <row r="38" ht="15.75" spans="1:9">
      <c r="A38" s="28"/>
      <c r="B38" s="28"/>
      <c r="C38" s="28"/>
      <c r="D38" s="28"/>
      <c r="E38" s="28"/>
      <c r="F38" s="29"/>
      <c r="G38" s="29"/>
      <c r="H38" s="28"/>
      <c r="I38" s="29"/>
    </row>
    <row r="39" ht="15.75" spans="1:9">
      <c r="A39" s="45" t="s">
        <v>1513</v>
      </c>
      <c r="B39" s="52">
        <f>I12+1</f>
        <v>1.0607</v>
      </c>
      <c r="C39" s="52">
        <f>I14+1</f>
        <v>1.0123</v>
      </c>
      <c r="D39" s="53">
        <f>I16+1</f>
        <v>1.074</v>
      </c>
      <c r="E39" s="47" t="s">
        <v>1517</v>
      </c>
      <c r="F39" s="29"/>
      <c r="G39" s="29"/>
      <c r="H39" s="28"/>
      <c r="I39" s="29"/>
    </row>
    <row r="40" ht="15.75" spans="1:9">
      <c r="A40" s="45"/>
      <c r="B40" s="48"/>
      <c r="C40" s="54">
        <f>1-I22</f>
        <v>0.8935</v>
      </c>
      <c r="D40" s="48"/>
      <c r="E40" s="47"/>
      <c r="F40" s="29"/>
      <c r="G40" s="29"/>
      <c r="H40" s="28"/>
      <c r="I40" s="29"/>
    </row>
    <row r="41" ht="15.75" spans="1:9">
      <c r="A41" s="28"/>
      <c r="B41" s="28"/>
      <c r="C41" s="28"/>
      <c r="D41" s="28"/>
      <c r="E41" s="28"/>
      <c r="F41" s="29"/>
      <c r="G41" s="29"/>
      <c r="H41" s="28"/>
      <c r="I41" s="29"/>
    </row>
    <row r="42" ht="15.75" spans="1:9">
      <c r="A42" s="28"/>
      <c r="B42" s="28"/>
      <c r="C42" s="28"/>
      <c r="D42" s="28"/>
      <c r="E42" s="28"/>
      <c r="F42" s="29"/>
      <c r="G42" s="29"/>
      <c r="H42" s="28"/>
      <c r="I42" s="29"/>
    </row>
    <row r="43" ht="15.75" spans="1:9">
      <c r="A43" s="45" t="s">
        <v>1513</v>
      </c>
      <c r="B43" s="53">
        <f>B39*C39*D39</f>
        <v>1.15320385914</v>
      </c>
      <c r="C43" s="55" t="s">
        <v>1519</v>
      </c>
      <c r="D43" s="28"/>
      <c r="E43" s="28"/>
      <c r="F43" s="29"/>
      <c r="G43" s="29"/>
      <c r="H43" s="28"/>
      <c r="I43" s="29"/>
    </row>
    <row r="44" ht="15.75" spans="1:9">
      <c r="A44" s="45"/>
      <c r="B44" s="54">
        <f>C40</f>
        <v>0.8935</v>
      </c>
      <c r="C44" s="55"/>
      <c r="D44" s="28"/>
      <c r="E44" s="28"/>
      <c r="F44" s="29"/>
      <c r="G44" s="29"/>
      <c r="H44" s="28"/>
      <c r="I44" s="29"/>
    </row>
    <row r="45" ht="15.75" spans="1:9">
      <c r="A45" s="28"/>
      <c r="B45" s="28"/>
      <c r="C45" s="28"/>
      <c r="D45" s="28"/>
      <c r="E45" s="28"/>
      <c r="F45" s="29"/>
      <c r="G45" s="29"/>
      <c r="H45" s="28"/>
      <c r="I45" s="29"/>
    </row>
    <row r="46" ht="15.75" spans="1:9">
      <c r="A46" s="28"/>
      <c r="B46" s="28"/>
      <c r="C46" s="28"/>
      <c r="D46" s="28"/>
      <c r="E46" s="28"/>
      <c r="F46" s="29"/>
      <c r="G46" s="29"/>
      <c r="H46" s="28"/>
      <c r="I46" s="29"/>
    </row>
    <row r="47" ht="15.75" spans="1:9">
      <c r="A47" s="45" t="s">
        <v>1513</v>
      </c>
      <c r="B47" s="56">
        <f>B43/B44</f>
        <v>1.29065904772244</v>
      </c>
      <c r="C47" s="55" t="s">
        <v>1519</v>
      </c>
      <c r="D47" s="28"/>
      <c r="E47" s="57" t="s">
        <v>1513</v>
      </c>
      <c r="F47" s="58">
        <f>ROUND(B47-1,4)</f>
        <v>0.2907</v>
      </c>
      <c r="G47" s="29"/>
      <c r="H47" s="28"/>
      <c r="I47" s="29"/>
    </row>
    <row r="48" ht="15.75" spans="1:9">
      <c r="A48" s="45"/>
      <c r="B48" s="56"/>
      <c r="C48" s="55"/>
      <c r="D48" s="28"/>
      <c r="E48" s="57"/>
      <c r="F48" s="58"/>
      <c r="G48" s="29"/>
      <c r="H48" s="28"/>
      <c r="I48" s="29"/>
    </row>
    <row r="49" ht="15.75" spans="1:9">
      <c r="A49" s="28"/>
      <c r="B49" s="28"/>
      <c r="C49" s="28"/>
      <c r="D49" s="28"/>
      <c r="E49" s="28"/>
      <c r="F49" s="29"/>
      <c r="G49" s="29"/>
      <c r="H49" s="28"/>
      <c r="I49" s="29"/>
    </row>
    <row r="50" ht="15.75" spans="1:9">
      <c r="A50" s="59" t="s">
        <v>1520</v>
      </c>
      <c r="B50" s="59"/>
      <c r="C50" s="59"/>
      <c r="D50" s="59"/>
      <c r="E50" s="59"/>
      <c r="F50" s="59"/>
      <c r="G50" s="59"/>
      <c r="H50" s="59"/>
      <c r="I50" s="59"/>
    </row>
    <row r="51" ht="15.75" spans="1:9">
      <c r="A51" s="60" t="s">
        <v>1521</v>
      </c>
      <c r="B51" s="60"/>
      <c r="C51" s="60"/>
      <c r="D51" s="60"/>
      <c r="E51" s="60"/>
      <c r="F51" s="60"/>
      <c r="G51" s="60"/>
      <c r="H51" s="60"/>
      <c r="I51" s="60"/>
    </row>
    <row r="52" ht="15.75" customHeight="1" spans="1:9">
      <c r="A52" s="61" t="s">
        <v>1522</v>
      </c>
      <c r="B52" s="61"/>
      <c r="C52" s="61"/>
      <c r="D52" s="61"/>
      <c r="E52" s="61"/>
      <c r="F52" s="61"/>
      <c r="G52" s="61"/>
      <c r="H52" s="61"/>
      <c r="I52" s="61"/>
    </row>
    <row r="53" spans="1:9">
      <c r="A53" s="61"/>
      <c r="B53" s="61"/>
      <c r="C53" s="61"/>
      <c r="D53" s="61"/>
      <c r="E53" s="61"/>
      <c r="F53" s="61"/>
      <c r="G53" s="61"/>
      <c r="H53" s="61"/>
      <c r="I53" s="61"/>
    </row>
  </sheetData>
  <mergeCells count="48">
    <mergeCell ref="A1:I1"/>
    <mergeCell ref="A2:I2"/>
    <mergeCell ref="A4:I4"/>
    <mergeCell ref="A5:I5"/>
    <mergeCell ref="F7:H7"/>
    <mergeCell ref="B9:E9"/>
    <mergeCell ref="B10:E10"/>
    <mergeCell ref="B11:E11"/>
    <mergeCell ref="B12:H12"/>
    <mergeCell ref="B13:E13"/>
    <mergeCell ref="B14:H14"/>
    <mergeCell ref="B15:E15"/>
    <mergeCell ref="B16:H16"/>
    <mergeCell ref="B17:H17"/>
    <mergeCell ref="B18:E18"/>
    <mergeCell ref="B19:E19"/>
    <mergeCell ref="B20:E20"/>
    <mergeCell ref="B21:E21"/>
    <mergeCell ref="B22:H22"/>
    <mergeCell ref="A23:H23"/>
    <mergeCell ref="A25:E25"/>
    <mergeCell ref="F25:I25"/>
    <mergeCell ref="B26:E26"/>
    <mergeCell ref="B27:E27"/>
    <mergeCell ref="B28:E28"/>
    <mergeCell ref="B29:E29"/>
    <mergeCell ref="A50:I50"/>
    <mergeCell ref="A51:I51"/>
    <mergeCell ref="A9:A12"/>
    <mergeCell ref="A13:A14"/>
    <mergeCell ref="A15:A16"/>
    <mergeCell ref="A17:A22"/>
    <mergeCell ref="A31:A32"/>
    <mergeCell ref="A35:A36"/>
    <mergeCell ref="A39:A40"/>
    <mergeCell ref="A43:A44"/>
    <mergeCell ref="A47:A48"/>
    <mergeCell ref="B47:B48"/>
    <mergeCell ref="C43:C44"/>
    <mergeCell ref="C47:C48"/>
    <mergeCell ref="E31:E32"/>
    <mergeCell ref="E35:E36"/>
    <mergeCell ref="E39:E40"/>
    <mergeCell ref="E47:E48"/>
    <mergeCell ref="F47:F48"/>
    <mergeCell ref="I7:I8"/>
    <mergeCell ref="A52:I53"/>
    <mergeCell ref="A7:E8"/>
  </mergeCells>
  <pageMargins left="0.511805555555556" right="0.511805555555556" top="1.44791666666667" bottom="0.786805555555556" header="0.313888888888889" footer="0.313888888888889"/>
  <pageSetup paperSize="9" scale="79" orientation="portrait"/>
  <headerFooter>
    <oddHeader>&amp;C&amp;G
DEFENSORIA PÚBLICA DO ESTADO DE RORAIMA
“Amazônia: Patrimônio dos brasileiros”
____________________________________________________________________________________________________</oddHeader>
  </headerFooter>
  <colBreaks count="1" manualBreakCount="1">
    <brk id="9" max="1048575" man="1"/>
  </colBreaks>
  <legacyDrawingHF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2"/>
  <sheetViews>
    <sheetView view="pageBreakPreview" zoomScale="85" zoomScaleNormal="100" zoomScaleSheetLayoutView="85" topLeftCell="B22" workbookViewId="0">
      <selection activeCell="F48" sqref="F48"/>
    </sheetView>
  </sheetViews>
  <sheetFormatPr defaultColWidth="9" defaultRowHeight="15"/>
  <cols>
    <col min="1" max="1" width="9" style="19"/>
    <col min="2" max="3" width="16.4285714285714" style="19" customWidth="1"/>
    <col min="4" max="4" width="14.8571428571429" style="19" customWidth="1"/>
    <col min="5" max="5" width="6.57142857142857" style="19" customWidth="1"/>
    <col min="6" max="6" width="10.8571428571429" style="19" customWidth="1"/>
    <col min="7" max="7" width="9.28571428571429" style="19" customWidth="1"/>
    <col min="8" max="8" width="10.8571428571429" style="19" customWidth="1"/>
    <col min="9" max="9" width="21.4285714285714" style="19" customWidth="1"/>
  </cols>
  <sheetData>
    <row r="1" ht="16.5" spans="1:9">
      <c r="A1" s="20" t="s">
        <v>1523</v>
      </c>
      <c r="B1" s="21"/>
      <c r="C1" s="21"/>
      <c r="D1" s="21"/>
      <c r="E1" s="21"/>
      <c r="F1" s="21"/>
      <c r="G1" s="21"/>
      <c r="H1" s="21"/>
      <c r="I1" s="62"/>
    </row>
    <row r="2" ht="31.5" customHeight="1" spans="1:9">
      <c r="A2" s="22" t="str">
        <f>'PB III - Orçamento Sintetico'!A4:G4</f>
        <v>OBRA: CONSTRUÇÃO DA SEDE DA DEFENSORIA PÚBLICA DO ESTADO DE RORAIMA NO MUNICIPIO DO BONFIM - DPE/RR</v>
      </c>
      <c r="B2" s="23"/>
      <c r="C2" s="23"/>
      <c r="D2" s="23"/>
      <c r="E2" s="23"/>
      <c r="F2" s="23"/>
      <c r="G2" s="23"/>
      <c r="H2" s="23"/>
      <c r="I2" s="63"/>
    </row>
    <row r="3" ht="15.75" spans="1:9">
      <c r="A3" s="24"/>
      <c r="B3" s="25"/>
      <c r="C3" s="25"/>
      <c r="D3" s="25"/>
      <c r="E3" s="25"/>
      <c r="F3" s="25"/>
      <c r="G3" s="25"/>
      <c r="H3" s="25"/>
      <c r="I3" s="64"/>
    </row>
    <row r="4" ht="15.75" spans="1:9">
      <c r="A4" s="26" t="s">
        <v>1524</v>
      </c>
      <c r="B4" s="26"/>
      <c r="C4" s="26"/>
      <c r="D4" s="26"/>
      <c r="E4" s="26"/>
      <c r="F4" s="26"/>
      <c r="G4" s="26"/>
      <c r="H4" s="26"/>
      <c r="I4" s="26"/>
    </row>
    <row r="5" spans="1:9">
      <c r="A5" s="27"/>
      <c r="B5" s="27"/>
      <c r="C5" s="27"/>
      <c r="D5" s="27"/>
      <c r="E5" s="27"/>
      <c r="F5" s="27"/>
      <c r="G5" s="27"/>
      <c r="H5" s="27"/>
      <c r="I5" s="27"/>
    </row>
    <row r="6" ht="15.75" spans="1:9">
      <c r="A6" s="28"/>
      <c r="B6" s="28"/>
      <c r="C6" s="28"/>
      <c r="D6" s="28"/>
      <c r="E6" s="28"/>
      <c r="F6" s="29"/>
      <c r="G6" s="29"/>
      <c r="H6" s="28"/>
      <c r="I6" s="29"/>
    </row>
    <row r="7" ht="15.75" spans="1:9">
      <c r="A7" s="30" t="s">
        <v>1484</v>
      </c>
      <c r="B7" s="30"/>
      <c r="C7" s="30"/>
      <c r="D7" s="30"/>
      <c r="E7" s="30"/>
      <c r="F7" s="30" t="s">
        <v>1485</v>
      </c>
      <c r="G7" s="30"/>
      <c r="H7" s="30"/>
      <c r="I7" s="65" t="s">
        <v>1486</v>
      </c>
    </row>
    <row r="8" ht="15.75" spans="1:9">
      <c r="A8" s="30"/>
      <c r="B8" s="30"/>
      <c r="C8" s="30"/>
      <c r="D8" s="30"/>
      <c r="E8" s="30"/>
      <c r="F8" s="31" t="s">
        <v>1487</v>
      </c>
      <c r="G8" s="31" t="s">
        <v>1488</v>
      </c>
      <c r="H8" s="31" t="s">
        <v>1489</v>
      </c>
      <c r="I8" s="65"/>
    </row>
    <row r="9" ht="15.75" spans="1:9">
      <c r="A9" s="30" t="s">
        <v>1490</v>
      </c>
      <c r="B9" s="32" t="s">
        <v>1491</v>
      </c>
      <c r="C9" s="32"/>
      <c r="D9" s="32"/>
      <c r="E9" s="32"/>
      <c r="F9" s="33">
        <v>0.015</v>
      </c>
      <c r="G9" s="34">
        <v>0.0345</v>
      </c>
      <c r="H9" s="33">
        <v>0.0449</v>
      </c>
      <c r="I9" s="33">
        <f>G9</f>
        <v>0.0345</v>
      </c>
    </row>
    <row r="10" ht="15.75" spans="1:9">
      <c r="A10" s="30"/>
      <c r="B10" s="35" t="s">
        <v>1492</v>
      </c>
      <c r="C10" s="35"/>
      <c r="D10" s="35"/>
      <c r="E10" s="35"/>
      <c r="F10" s="33">
        <v>0.003</v>
      </c>
      <c r="G10" s="34">
        <v>0.0048</v>
      </c>
      <c r="H10" s="33">
        <v>0.0082</v>
      </c>
      <c r="I10" s="33">
        <f>G10</f>
        <v>0.0048</v>
      </c>
    </row>
    <row r="11" ht="15.75" spans="1:9">
      <c r="A11" s="30"/>
      <c r="B11" s="35" t="s">
        <v>1493</v>
      </c>
      <c r="C11" s="35"/>
      <c r="D11" s="35"/>
      <c r="E11" s="35"/>
      <c r="F11" s="33">
        <v>0.0056</v>
      </c>
      <c r="G11" s="34">
        <v>0.0085</v>
      </c>
      <c r="H11" s="33">
        <v>0.0089</v>
      </c>
      <c r="I11" s="33">
        <f>G11</f>
        <v>0.0085</v>
      </c>
    </row>
    <row r="12" ht="15.75" spans="1:9">
      <c r="A12" s="30"/>
      <c r="B12" s="36" t="s">
        <v>1094</v>
      </c>
      <c r="C12" s="36"/>
      <c r="D12" s="36"/>
      <c r="E12" s="36"/>
      <c r="F12" s="36"/>
      <c r="G12" s="36"/>
      <c r="H12" s="36"/>
      <c r="I12" s="39">
        <f>SUM(I9:I11)</f>
        <v>0.0478</v>
      </c>
    </row>
    <row r="13" ht="15.75" spans="1:9">
      <c r="A13" s="30" t="s">
        <v>1494</v>
      </c>
      <c r="B13" s="32" t="s">
        <v>1495</v>
      </c>
      <c r="C13" s="32"/>
      <c r="D13" s="32"/>
      <c r="E13" s="32"/>
      <c r="F13" s="33">
        <v>0.0085</v>
      </c>
      <c r="G13" s="34">
        <v>0.0085</v>
      </c>
      <c r="H13" s="33">
        <v>0.0111</v>
      </c>
      <c r="I13" s="38">
        <f>G13</f>
        <v>0.0085</v>
      </c>
    </row>
    <row r="14" ht="15.75" spans="1:9">
      <c r="A14" s="30"/>
      <c r="B14" s="36" t="s">
        <v>1094</v>
      </c>
      <c r="C14" s="36"/>
      <c r="D14" s="36"/>
      <c r="E14" s="36"/>
      <c r="F14" s="36"/>
      <c r="G14" s="36"/>
      <c r="H14" s="36"/>
      <c r="I14" s="39">
        <f>I13</f>
        <v>0.0085</v>
      </c>
    </row>
    <row r="15" ht="15.75" spans="1:9">
      <c r="A15" s="30" t="s">
        <v>1496</v>
      </c>
      <c r="B15" s="32" t="s">
        <v>1497</v>
      </c>
      <c r="C15" s="32"/>
      <c r="D15" s="32"/>
      <c r="E15" s="32"/>
      <c r="F15" s="33">
        <v>0.035</v>
      </c>
      <c r="G15" s="34">
        <v>0.0511</v>
      </c>
      <c r="H15" s="33">
        <v>0.0622</v>
      </c>
      <c r="I15" s="38">
        <f>G15</f>
        <v>0.0511</v>
      </c>
    </row>
    <row r="16" ht="15.75" spans="1:9">
      <c r="A16" s="30"/>
      <c r="B16" s="36" t="s">
        <v>1094</v>
      </c>
      <c r="C16" s="36"/>
      <c r="D16" s="36"/>
      <c r="E16" s="36"/>
      <c r="F16" s="36"/>
      <c r="G16" s="36"/>
      <c r="H16" s="36"/>
      <c r="I16" s="39">
        <f>I15</f>
        <v>0.0511</v>
      </c>
    </row>
    <row r="17" ht="15.75" spans="1:9">
      <c r="A17" s="30" t="s">
        <v>12</v>
      </c>
      <c r="B17" s="37" t="s">
        <v>1498</v>
      </c>
      <c r="C17" s="37"/>
      <c r="D17" s="37"/>
      <c r="E17" s="37"/>
      <c r="F17" s="37"/>
      <c r="G17" s="37"/>
      <c r="H17" s="37"/>
      <c r="I17" s="66"/>
    </row>
    <row r="18" ht="15.75" spans="1:9">
      <c r="A18" s="30"/>
      <c r="B18" s="35" t="s">
        <v>1499</v>
      </c>
      <c r="C18" s="35"/>
      <c r="D18" s="35"/>
      <c r="E18" s="35"/>
      <c r="F18" s="38">
        <v>0.03</v>
      </c>
      <c r="G18" s="39">
        <v>0.03</v>
      </c>
      <c r="H18" s="38">
        <v>0.03</v>
      </c>
      <c r="I18" s="38">
        <f>G18</f>
        <v>0.03</v>
      </c>
    </row>
    <row r="19" ht="15.75" spans="1:9">
      <c r="A19" s="30"/>
      <c r="B19" s="35" t="s">
        <v>1500</v>
      </c>
      <c r="C19" s="35"/>
      <c r="D19" s="35"/>
      <c r="E19" s="35"/>
      <c r="F19" s="38">
        <v>0.0065</v>
      </c>
      <c r="G19" s="39">
        <v>0.0065</v>
      </c>
      <c r="H19" s="38">
        <v>0.0065</v>
      </c>
      <c r="I19" s="38">
        <f>G19</f>
        <v>0.0065</v>
      </c>
    </row>
    <row r="20" ht="15.75" spans="1:9">
      <c r="A20" s="30"/>
      <c r="B20" s="35" t="s">
        <v>1502</v>
      </c>
      <c r="C20" s="35"/>
      <c r="D20" s="35"/>
      <c r="E20" s="35"/>
      <c r="F20" s="38">
        <v>0.045</v>
      </c>
      <c r="G20" s="39">
        <v>0.045</v>
      </c>
      <c r="H20" s="38">
        <v>0.045</v>
      </c>
      <c r="I20" s="38">
        <f>G20</f>
        <v>0.045</v>
      </c>
    </row>
    <row r="21" ht="15.75" spans="1:9">
      <c r="A21" s="30"/>
      <c r="B21" s="36" t="s">
        <v>1094</v>
      </c>
      <c r="C21" s="36"/>
      <c r="D21" s="36"/>
      <c r="E21" s="36"/>
      <c r="F21" s="36"/>
      <c r="G21" s="36"/>
      <c r="H21" s="36"/>
      <c r="I21" s="67">
        <f>SUM(I18:I20)</f>
        <v>0.0815</v>
      </c>
    </row>
    <row r="22" ht="15.75" spans="1:9">
      <c r="A22" s="40" t="s">
        <v>1503</v>
      </c>
      <c r="B22" s="40"/>
      <c r="C22" s="40"/>
      <c r="D22" s="40"/>
      <c r="E22" s="40"/>
      <c r="F22" s="40"/>
      <c r="G22" s="40"/>
      <c r="H22" s="40"/>
      <c r="I22" s="68">
        <f>ROUND(F46,4)</f>
        <v>0.2093</v>
      </c>
    </row>
    <row r="23" ht="15.75" spans="1:9">
      <c r="A23" s="28"/>
      <c r="B23" s="28"/>
      <c r="C23" s="28"/>
      <c r="D23" s="28"/>
      <c r="E23" s="28"/>
      <c r="F23" s="29"/>
      <c r="G23" s="29"/>
      <c r="H23" s="28"/>
      <c r="I23" s="29"/>
    </row>
    <row r="24" ht="15.75" spans="1:9">
      <c r="A24" s="31" t="s">
        <v>1504</v>
      </c>
      <c r="B24" s="31"/>
      <c r="C24" s="31"/>
      <c r="D24" s="31"/>
      <c r="E24" s="31"/>
      <c r="F24" s="31" t="s">
        <v>1505</v>
      </c>
      <c r="G24" s="31"/>
      <c r="H24" s="31"/>
      <c r="I24" s="31"/>
    </row>
    <row r="25" ht="15.75" spans="1:5">
      <c r="A25" s="41" t="s">
        <v>1506</v>
      </c>
      <c r="B25" s="42" t="s">
        <v>1507</v>
      </c>
      <c r="C25" s="42"/>
      <c r="D25" s="42"/>
      <c r="E25" s="42"/>
    </row>
    <row r="26" ht="15.75" spans="1:5">
      <c r="A26" s="43" t="s">
        <v>1508</v>
      </c>
      <c r="B26" s="44" t="s">
        <v>1509</v>
      </c>
      <c r="C26" s="44"/>
      <c r="D26" s="44"/>
      <c r="E26" s="44"/>
    </row>
    <row r="27" ht="15.75" spans="1:5">
      <c r="A27" s="43" t="s">
        <v>1510</v>
      </c>
      <c r="B27" s="44" t="s">
        <v>1497</v>
      </c>
      <c r="C27" s="44"/>
      <c r="D27" s="44"/>
      <c r="E27" s="44"/>
    </row>
    <row r="28" ht="15.75" spans="1:5">
      <c r="A28" s="43" t="s">
        <v>1511</v>
      </c>
      <c r="B28" s="44" t="s">
        <v>1512</v>
      </c>
      <c r="C28" s="44"/>
      <c r="D28" s="44"/>
      <c r="E28" s="44"/>
    </row>
    <row r="29" ht="15.75" spans="1:5">
      <c r="A29" s="28"/>
      <c r="B29" s="28"/>
      <c r="C29" s="28"/>
      <c r="D29" s="28"/>
      <c r="E29" s="28"/>
    </row>
    <row r="30" ht="15.75" spans="1:9">
      <c r="A30" s="45" t="s">
        <v>1513</v>
      </c>
      <c r="B30" s="46" t="s">
        <v>1514</v>
      </c>
      <c r="C30" s="46" t="s">
        <v>1515</v>
      </c>
      <c r="D30" s="46" t="s">
        <v>1516</v>
      </c>
      <c r="E30" s="47" t="s">
        <v>1517</v>
      </c>
      <c r="F30" s="29"/>
      <c r="G30" s="29"/>
      <c r="H30" s="28"/>
      <c r="I30" s="29"/>
    </row>
    <row r="31" ht="15.75" spans="1:9">
      <c r="A31" s="45"/>
      <c r="B31" s="48"/>
      <c r="C31" s="48" t="s">
        <v>1518</v>
      </c>
      <c r="D31" s="48"/>
      <c r="E31" s="47"/>
      <c r="F31" s="29"/>
      <c r="G31" s="29"/>
      <c r="H31" s="28"/>
      <c r="I31" s="29"/>
    </row>
    <row r="32" ht="15.75" spans="1:9">
      <c r="A32" s="28"/>
      <c r="B32" s="28"/>
      <c r="C32" s="28"/>
      <c r="D32" s="28"/>
      <c r="E32" s="28"/>
      <c r="F32" s="29"/>
      <c r="G32" s="29"/>
      <c r="H32" s="28"/>
      <c r="I32" s="29"/>
    </row>
    <row r="33" ht="15.75" spans="1:9">
      <c r="A33" s="28"/>
      <c r="B33" s="28"/>
      <c r="C33" s="28"/>
      <c r="D33" s="28"/>
      <c r="E33" s="28"/>
      <c r="F33" s="29"/>
      <c r="G33" s="29"/>
      <c r="H33" s="28"/>
      <c r="I33" s="29"/>
    </row>
    <row r="34" ht="15.75" spans="1:9">
      <c r="A34" s="45" t="s">
        <v>1513</v>
      </c>
      <c r="B34" s="49">
        <f>I12</f>
        <v>0.0478</v>
      </c>
      <c r="C34" s="49">
        <f>I14</f>
        <v>0.0085</v>
      </c>
      <c r="D34" s="50">
        <f>I16</f>
        <v>0.0511</v>
      </c>
      <c r="E34" s="47" t="s">
        <v>1517</v>
      </c>
      <c r="F34" s="29"/>
      <c r="G34" s="29"/>
      <c r="H34" s="28"/>
      <c r="I34" s="29"/>
    </row>
    <row r="35" ht="15.75" spans="1:9">
      <c r="A35" s="45"/>
      <c r="B35" s="48"/>
      <c r="C35" s="51">
        <f>I21</f>
        <v>0.0815</v>
      </c>
      <c r="D35" s="48"/>
      <c r="E35" s="47"/>
      <c r="F35" s="29"/>
      <c r="G35" s="29"/>
      <c r="H35" s="28"/>
      <c r="I35" s="29"/>
    </row>
    <row r="36" ht="15.75" spans="1:9">
      <c r="A36" s="28"/>
      <c r="B36" s="28"/>
      <c r="C36" s="28"/>
      <c r="D36" s="28"/>
      <c r="E36" s="28"/>
      <c r="F36" s="29"/>
      <c r="G36" s="29"/>
      <c r="H36" s="28"/>
      <c r="I36" s="29"/>
    </row>
    <row r="37" ht="15.75" spans="1:9">
      <c r="A37" s="28"/>
      <c r="B37" s="28"/>
      <c r="C37" s="28"/>
      <c r="D37" s="28"/>
      <c r="E37" s="28"/>
      <c r="F37" s="29"/>
      <c r="G37" s="29"/>
      <c r="H37" s="28"/>
      <c r="I37" s="29"/>
    </row>
    <row r="38" ht="15.75" spans="1:9">
      <c r="A38" s="45" t="s">
        <v>1513</v>
      </c>
      <c r="B38" s="52">
        <f>I12+1</f>
        <v>1.0478</v>
      </c>
      <c r="C38" s="52">
        <f>I14+1</f>
        <v>1.0085</v>
      </c>
      <c r="D38" s="53">
        <f>I16+1</f>
        <v>1.0511</v>
      </c>
      <c r="E38" s="47" t="s">
        <v>1517</v>
      </c>
      <c r="F38" s="29"/>
      <c r="G38" s="29"/>
      <c r="H38" s="28"/>
      <c r="I38" s="29"/>
    </row>
    <row r="39" ht="15.75" spans="1:9">
      <c r="A39" s="45"/>
      <c r="B39" s="48"/>
      <c r="C39" s="54">
        <f>1-I21</f>
        <v>0.9185</v>
      </c>
      <c r="D39" s="48"/>
      <c r="E39" s="47"/>
      <c r="F39" s="29"/>
      <c r="G39" s="29"/>
      <c r="H39" s="28"/>
      <c r="I39" s="29"/>
    </row>
    <row r="40" ht="15.75" spans="1:9">
      <c r="A40" s="28"/>
      <c r="B40" s="28"/>
      <c r="C40" s="28"/>
      <c r="D40" s="28"/>
      <c r="E40" s="28"/>
      <c r="F40" s="29"/>
      <c r="G40" s="29"/>
      <c r="H40" s="28"/>
      <c r="I40" s="29"/>
    </row>
    <row r="41" ht="15.75" spans="1:9">
      <c r="A41" s="28"/>
      <c r="B41" s="28"/>
      <c r="C41" s="28"/>
      <c r="D41" s="28"/>
      <c r="E41" s="28"/>
      <c r="F41" s="29"/>
      <c r="G41" s="29"/>
      <c r="H41" s="28"/>
      <c r="I41" s="29"/>
    </row>
    <row r="42" ht="15.75" spans="1:9">
      <c r="A42" s="45" t="s">
        <v>1513</v>
      </c>
      <c r="B42" s="53">
        <f>B38*C38*D38</f>
        <v>1.11070399193</v>
      </c>
      <c r="C42" s="55" t="s">
        <v>1519</v>
      </c>
      <c r="D42" s="28"/>
      <c r="E42" s="28"/>
      <c r="F42" s="29"/>
      <c r="G42" s="29"/>
      <c r="H42" s="28"/>
      <c r="I42" s="29"/>
    </row>
    <row r="43" ht="15.75" spans="1:9">
      <c r="A43" s="45"/>
      <c r="B43" s="54">
        <f>C39</f>
        <v>0.9185</v>
      </c>
      <c r="C43" s="55"/>
      <c r="D43" s="28"/>
      <c r="E43" s="28"/>
      <c r="F43" s="29"/>
      <c r="G43" s="29"/>
      <c r="H43" s="28"/>
      <c r="I43" s="29"/>
    </row>
    <row r="44" ht="15.75" spans="1:9">
      <c r="A44" s="28"/>
      <c r="B44" s="28"/>
      <c r="C44" s="28"/>
      <c r="D44" s="28"/>
      <c r="E44" s="28"/>
      <c r="F44" s="29"/>
      <c r="G44" s="29"/>
      <c r="H44" s="28"/>
      <c r="I44" s="29"/>
    </row>
    <row r="45" ht="15.75" spans="1:9">
      <c r="A45" s="28"/>
      <c r="B45" s="28"/>
      <c r="C45" s="28"/>
      <c r="D45" s="28"/>
      <c r="E45" s="28"/>
      <c r="F45" s="29"/>
      <c r="G45" s="29"/>
      <c r="H45" s="28"/>
      <c r="I45" s="29"/>
    </row>
    <row r="46" ht="15.75" spans="1:9">
      <c r="A46" s="45" t="s">
        <v>1513</v>
      </c>
      <c r="B46" s="56">
        <f>B42/B43</f>
        <v>1.2092585649755</v>
      </c>
      <c r="C46" s="55" t="s">
        <v>1519</v>
      </c>
      <c r="D46" s="28"/>
      <c r="E46" s="57" t="s">
        <v>1513</v>
      </c>
      <c r="F46" s="58">
        <f>ROUND(B46-1,4)</f>
        <v>0.2093</v>
      </c>
      <c r="G46" s="29"/>
      <c r="H46" s="28"/>
      <c r="I46" s="29"/>
    </row>
    <row r="47" ht="15.75" spans="1:9">
      <c r="A47" s="45"/>
      <c r="B47" s="56"/>
      <c r="C47" s="55"/>
      <c r="D47" s="28"/>
      <c r="E47" s="57"/>
      <c r="F47" s="58"/>
      <c r="G47" s="29"/>
      <c r="H47" s="28"/>
      <c r="I47" s="29"/>
    </row>
    <row r="48" ht="15.75" spans="1:9">
      <c r="A48" s="28"/>
      <c r="B48" s="28"/>
      <c r="C48" s="28"/>
      <c r="D48" s="28"/>
      <c r="E48" s="28"/>
      <c r="F48" s="29"/>
      <c r="G48" s="29"/>
      <c r="H48" s="28"/>
      <c r="I48" s="29"/>
    </row>
    <row r="49" ht="15.75" spans="1:9">
      <c r="A49" s="59" t="s">
        <v>1520</v>
      </c>
      <c r="B49" s="59"/>
      <c r="C49" s="59"/>
      <c r="D49" s="59"/>
      <c r="E49" s="59"/>
      <c r="F49" s="59"/>
      <c r="G49" s="59"/>
      <c r="H49" s="59"/>
      <c r="I49" s="59"/>
    </row>
    <row r="50" ht="15.75" spans="1:9">
      <c r="A50" s="60" t="s">
        <v>1521</v>
      </c>
      <c r="B50" s="60"/>
      <c r="C50" s="60"/>
      <c r="D50" s="60"/>
      <c r="E50" s="60"/>
      <c r="F50" s="60"/>
      <c r="G50" s="60"/>
      <c r="H50" s="60"/>
      <c r="I50" s="60"/>
    </row>
    <row r="51" ht="15.75" customHeight="1" spans="1:9">
      <c r="A51" s="61" t="s">
        <v>1522</v>
      </c>
      <c r="B51" s="61"/>
      <c r="C51" s="61"/>
      <c r="D51" s="61"/>
      <c r="E51" s="61"/>
      <c r="F51" s="61"/>
      <c r="G51" s="61"/>
      <c r="H51" s="61"/>
      <c r="I51" s="61"/>
    </row>
    <row r="52" spans="1:9">
      <c r="A52" s="61"/>
      <c r="B52" s="61"/>
      <c r="C52" s="61"/>
      <c r="D52" s="61"/>
      <c r="E52" s="61"/>
      <c r="F52" s="61"/>
      <c r="G52" s="61"/>
      <c r="H52" s="61"/>
      <c r="I52" s="61"/>
    </row>
  </sheetData>
  <mergeCells count="47">
    <mergeCell ref="A1:I1"/>
    <mergeCell ref="A2:I2"/>
    <mergeCell ref="A4:I4"/>
    <mergeCell ref="A5:I5"/>
    <mergeCell ref="F7:H7"/>
    <mergeCell ref="B9:E9"/>
    <mergeCell ref="B10:E10"/>
    <mergeCell ref="B11:E11"/>
    <mergeCell ref="B12:H12"/>
    <mergeCell ref="B13:E13"/>
    <mergeCell ref="B14:H14"/>
    <mergeCell ref="B15:E15"/>
    <mergeCell ref="B16:H16"/>
    <mergeCell ref="B17:H17"/>
    <mergeCell ref="B18:E18"/>
    <mergeCell ref="B19:E19"/>
    <mergeCell ref="B20:E20"/>
    <mergeCell ref="B21:H21"/>
    <mergeCell ref="A22:H22"/>
    <mergeCell ref="A24:E24"/>
    <mergeCell ref="F24:I24"/>
    <mergeCell ref="B25:E25"/>
    <mergeCell ref="B26:E26"/>
    <mergeCell ref="B27:E27"/>
    <mergeCell ref="B28:E28"/>
    <mergeCell ref="A49:I49"/>
    <mergeCell ref="A50:I50"/>
    <mergeCell ref="A9:A12"/>
    <mergeCell ref="A13:A14"/>
    <mergeCell ref="A15:A16"/>
    <mergeCell ref="A17:A21"/>
    <mergeCell ref="A30:A31"/>
    <mergeCell ref="A34:A35"/>
    <mergeCell ref="A38:A39"/>
    <mergeCell ref="A42:A43"/>
    <mergeCell ref="A46:A47"/>
    <mergeCell ref="B46:B47"/>
    <mergeCell ref="C42:C43"/>
    <mergeCell ref="C46:C47"/>
    <mergeCell ref="E30:E31"/>
    <mergeCell ref="E34:E35"/>
    <mergeCell ref="E38:E39"/>
    <mergeCell ref="E46:E47"/>
    <mergeCell ref="F46:F47"/>
    <mergeCell ref="I7:I8"/>
    <mergeCell ref="A7:E8"/>
    <mergeCell ref="A51:I52"/>
  </mergeCells>
  <pageMargins left="0.511805555555556" right="0.511805555555556" top="1.44791666666667" bottom="0.786805555555556" header="0.313888888888889" footer="0.313888888888889"/>
  <pageSetup paperSize="9" scale="79" orientation="portrait"/>
  <headerFooter>
    <oddHeader>&amp;C&amp;G
DEFENSORIA PÚBLICA DO ESTADO DE RORAIMA
“Amazônia: Patrimônio dos brasileiros”
____________________________________________________________________________________________________</oddHeader>
  </headerFooter>
  <colBreaks count="1" manualBreakCount="1">
    <brk id="9" max="1048575" man="1"/>
  </colBreaks>
  <legacyDrawingHF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4"/>
  <sheetViews>
    <sheetView view="pageBreakPreview" zoomScaleNormal="100" zoomScaleSheetLayoutView="100" workbookViewId="0">
      <selection activeCell="I37" sqref="I37"/>
    </sheetView>
  </sheetViews>
  <sheetFormatPr defaultColWidth="9" defaultRowHeight="15.75" outlineLevelCol="3"/>
  <cols>
    <col min="1" max="1" width="10.2857142857143" style="1" customWidth="1"/>
    <col min="2" max="2" width="34.8571428571429" style="1" customWidth="1"/>
    <col min="3" max="3" width="20.4285714285714" style="1" customWidth="1"/>
    <col min="4" max="4" width="24.7142857142857" style="1" customWidth="1"/>
  </cols>
  <sheetData>
    <row r="1" spans="1:4">
      <c r="A1" s="2" t="s">
        <v>1525</v>
      </c>
      <c r="B1" s="2"/>
      <c r="C1" s="2"/>
      <c r="D1" s="2"/>
    </row>
    <row r="2" spans="1:4">
      <c r="A2" s="3"/>
      <c r="B2" s="4"/>
      <c r="C2" s="4"/>
      <c r="D2" s="5"/>
    </row>
    <row r="3" ht="30.75" customHeight="1" spans="1:4">
      <c r="A3" s="6" t="str">
        <f>'PB III - Orçamento Sintetico'!A4:G4</f>
        <v>OBRA: CONSTRUÇÃO DA SEDE DA DEFENSORIA PÚBLICA DO ESTADO DE RORAIMA NO MUNICIPIO DO BONFIM - DPE/RR</v>
      </c>
      <c r="B3" s="6"/>
      <c r="C3" s="6"/>
      <c r="D3" s="6"/>
    </row>
    <row r="4" spans="1:4">
      <c r="A4" s="3"/>
      <c r="B4" s="4"/>
      <c r="C4" s="4"/>
      <c r="D4" s="5"/>
    </row>
    <row r="5" spans="1:4">
      <c r="A5" s="7" t="s">
        <v>4</v>
      </c>
      <c r="B5" s="8" t="s">
        <v>895</v>
      </c>
      <c r="C5" s="9" t="s">
        <v>1526</v>
      </c>
      <c r="D5" s="9" t="s">
        <v>1527</v>
      </c>
    </row>
    <row r="6" spans="1:4">
      <c r="A6" s="10" t="s">
        <v>1528</v>
      </c>
      <c r="B6" s="10"/>
      <c r="C6" s="10"/>
      <c r="D6" s="10"/>
    </row>
    <row r="7" spans="1:4">
      <c r="A7" s="11" t="s">
        <v>1529</v>
      </c>
      <c r="B7" s="12" t="s">
        <v>1530</v>
      </c>
      <c r="C7" s="13">
        <v>0</v>
      </c>
      <c r="D7" s="13">
        <v>0</v>
      </c>
    </row>
    <row r="8" spans="1:4">
      <c r="A8" s="11" t="s">
        <v>1531</v>
      </c>
      <c r="B8" s="12" t="s">
        <v>1532</v>
      </c>
      <c r="C8" s="13">
        <v>1.5</v>
      </c>
      <c r="D8" s="13">
        <v>1.5</v>
      </c>
    </row>
    <row r="9" spans="1:4">
      <c r="A9" s="11" t="s">
        <v>1533</v>
      </c>
      <c r="B9" s="12" t="s">
        <v>1534</v>
      </c>
      <c r="C9" s="13">
        <v>1</v>
      </c>
      <c r="D9" s="13">
        <v>1</v>
      </c>
    </row>
    <row r="10" spans="1:4">
      <c r="A10" s="11" t="s">
        <v>1535</v>
      </c>
      <c r="B10" s="12" t="s">
        <v>1536</v>
      </c>
      <c r="C10" s="13">
        <v>0.2</v>
      </c>
      <c r="D10" s="13">
        <v>0.2</v>
      </c>
    </row>
    <row r="11" spans="1:4">
      <c r="A11" s="11" t="s">
        <v>1537</v>
      </c>
      <c r="B11" s="12" t="s">
        <v>1538</v>
      </c>
      <c r="C11" s="13">
        <v>0.6</v>
      </c>
      <c r="D11" s="13">
        <v>0.6</v>
      </c>
    </row>
    <row r="12" spans="1:4">
      <c r="A12" s="11" t="s">
        <v>1539</v>
      </c>
      <c r="B12" s="12" t="s">
        <v>1540</v>
      </c>
      <c r="C12" s="13">
        <v>2.5</v>
      </c>
      <c r="D12" s="13">
        <v>2.5</v>
      </c>
    </row>
    <row r="13" spans="1:4">
      <c r="A13" s="11" t="s">
        <v>1541</v>
      </c>
      <c r="B13" s="12" t="s">
        <v>1542</v>
      </c>
      <c r="C13" s="13">
        <v>3</v>
      </c>
      <c r="D13" s="13">
        <v>3</v>
      </c>
    </row>
    <row r="14" spans="1:4">
      <c r="A14" s="11" t="s">
        <v>1543</v>
      </c>
      <c r="B14" s="12" t="s">
        <v>1544</v>
      </c>
      <c r="C14" s="13">
        <v>8</v>
      </c>
      <c r="D14" s="13">
        <v>8</v>
      </c>
    </row>
    <row r="15" spans="1:4">
      <c r="A15" s="11" t="s">
        <v>1545</v>
      </c>
      <c r="B15" s="12" t="s">
        <v>1546</v>
      </c>
      <c r="C15" s="13">
        <v>0</v>
      </c>
      <c r="D15" s="13">
        <v>0</v>
      </c>
    </row>
    <row r="16" spans="1:4">
      <c r="A16" s="7" t="s">
        <v>1547</v>
      </c>
      <c r="B16" s="14" t="s">
        <v>734</v>
      </c>
      <c r="C16" s="15">
        <f>SUM(C7:C15)</f>
        <v>16.8</v>
      </c>
      <c r="D16" s="15">
        <f>SUM(D7:D15)</f>
        <v>16.8</v>
      </c>
    </row>
    <row r="17" spans="1:4">
      <c r="A17" s="10" t="s">
        <v>1548</v>
      </c>
      <c r="B17" s="10"/>
      <c r="C17" s="10"/>
      <c r="D17" s="10"/>
    </row>
    <row r="18" spans="1:4">
      <c r="A18" s="11" t="s">
        <v>1549</v>
      </c>
      <c r="B18" s="12" t="s">
        <v>1550</v>
      </c>
      <c r="C18" s="13">
        <v>18.07</v>
      </c>
      <c r="D18" s="13">
        <v>0</v>
      </c>
    </row>
    <row r="19" spans="1:4">
      <c r="A19" s="11" t="s">
        <v>1551</v>
      </c>
      <c r="B19" s="12" t="s">
        <v>1552</v>
      </c>
      <c r="C19" s="13">
        <v>5.08</v>
      </c>
      <c r="D19" s="13">
        <v>0</v>
      </c>
    </row>
    <row r="20" spans="1:4">
      <c r="A20" s="11" t="s">
        <v>1553</v>
      </c>
      <c r="B20" s="12" t="s">
        <v>1554</v>
      </c>
      <c r="C20" s="13">
        <v>0.92</v>
      </c>
      <c r="D20" s="13">
        <v>0.69</v>
      </c>
    </row>
    <row r="21" spans="1:4">
      <c r="A21" s="11" t="s">
        <v>1555</v>
      </c>
      <c r="B21" s="12" t="s">
        <v>1556</v>
      </c>
      <c r="C21" s="13">
        <v>10.98</v>
      </c>
      <c r="D21" s="13">
        <v>8.33</v>
      </c>
    </row>
    <row r="22" spans="1:4">
      <c r="A22" s="11" t="s">
        <v>1557</v>
      </c>
      <c r="B22" s="12" t="s">
        <v>1558</v>
      </c>
      <c r="C22" s="13">
        <v>0.08</v>
      </c>
      <c r="D22" s="13">
        <v>0.06</v>
      </c>
    </row>
    <row r="23" spans="1:4">
      <c r="A23" s="11" t="s">
        <v>1559</v>
      </c>
      <c r="B23" s="12" t="s">
        <v>1560</v>
      </c>
      <c r="C23" s="13">
        <v>0.73</v>
      </c>
      <c r="D23" s="13">
        <v>0.56</v>
      </c>
    </row>
    <row r="24" spans="1:4">
      <c r="A24" s="11" t="s">
        <v>1561</v>
      </c>
      <c r="B24" s="12" t="s">
        <v>1562</v>
      </c>
      <c r="C24" s="13">
        <v>1.47</v>
      </c>
      <c r="D24" s="13">
        <v>0</v>
      </c>
    </row>
    <row r="25" spans="1:4">
      <c r="A25" s="11" t="s">
        <v>1563</v>
      </c>
      <c r="B25" s="12" t="s">
        <v>1564</v>
      </c>
      <c r="C25" s="13">
        <v>0.12</v>
      </c>
      <c r="D25" s="13">
        <v>0.09</v>
      </c>
    </row>
    <row r="26" spans="1:4">
      <c r="A26" s="11" t="s">
        <v>1565</v>
      </c>
      <c r="B26" s="12" t="s">
        <v>1566</v>
      </c>
      <c r="C26" s="13">
        <v>9.65</v>
      </c>
      <c r="D26" s="13">
        <v>7.32</v>
      </c>
    </row>
    <row r="27" spans="1:4">
      <c r="A27" s="11" t="s">
        <v>1567</v>
      </c>
      <c r="B27" s="12" t="s">
        <v>1568</v>
      </c>
      <c r="C27" s="13">
        <v>0.03</v>
      </c>
      <c r="D27" s="13">
        <v>0.02</v>
      </c>
    </row>
    <row r="28" spans="1:4">
      <c r="A28" s="7" t="s">
        <v>1569</v>
      </c>
      <c r="B28" s="14" t="s">
        <v>734</v>
      </c>
      <c r="C28" s="15">
        <f>SUM(C18:C27)</f>
        <v>47.13</v>
      </c>
      <c r="D28" s="15">
        <f>SUM(D18:D27)</f>
        <v>17.07</v>
      </c>
    </row>
    <row r="29" spans="1:4">
      <c r="A29" s="10" t="s">
        <v>1570</v>
      </c>
      <c r="B29" s="10"/>
      <c r="C29" s="10"/>
      <c r="D29" s="10"/>
    </row>
    <row r="30" spans="1:4">
      <c r="A30" s="11" t="s">
        <v>1571</v>
      </c>
      <c r="B30" s="12" t="s">
        <v>1572</v>
      </c>
      <c r="C30" s="13">
        <v>5.68</v>
      </c>
      <c r="D30" s="13">
        <v>4.31</v>
      </c>
    </row>
    <row r="31" spans="1:4">
      <c r="A31" s="11" t="s">
        <v>1573</v>
      </c>
      <c r="B31" s="12" t="s">
        <v>1574</v>
      </c>
      <c r="C31" s="13">
        <v>0.13</v>
      </c>
      <c r="D31" s="13">
        <v>0.1</v>
      </c>
    </row>
    <row r="32" spans="1:4">
      <c r="A32" s="11" t="s">
        <v>1575</v>
      </c>
      <c r="B32" s="12" t="s">
        <v>1576</v>
      </c>
      <c r="C32" s="13">
        <v>3.83</v>
      </c>
      <c r="D32" s="13">
        <v>2.9</v>
      </c>
    </row>
    <row r="33" spans="1:4">
      <c r="A33" s="11" t="s">
        <v>1577</v>
      </c>
      <c r="B33" s="12" t="s">
        <v>1578</v>
      </c>
      <c r="C33" s="13">
        <v>4.71</v>
      </c>
      <c r="D33" s="13">
        <v>3.57</v>
      </c>
    </row>
    <row r="34" spans="1:4">
      <c r="A34" s="11" t="s">
        <v>1579</v>
      </c>
      <c r="B34" s="12" t="s">
        <v>1580</v>
      </c>
      <c r="C34" s="13">
        <v>0.48</v>
      </c>
      <c r="D34" s="13">
        <v>0.36</v>
      </c>
    </row>
    <row r="35" spans="1:4">
      <c r="A35" s="7" t="s">
        <v>1581</v>
      </c>
      <c r="B35" s="16" t="s">
        <v>734</v>
      </c>
      <c r="C35" s="15">
        <f>SUM(C30:C34)</f>
        <v>14.83</v>
      </c>
      <c r="D35" s="15">
        <f>SUM(D30:D34)</f>
        <v>11.24</v>
      </c>
    </row>
    <row r="36" spans="1:4">
      <c r="A36" s="10" t="s">
        <v>1582</v>
      </c>
      <c r="B36" s="10"/>
      <c r="C36" s="10"/>
      <c r="D36" s="10"/>
    </row>
    <row r="37" ht="31.5" spans="1:4">
      <c r="A37" s="11" t="s">
        <v>1583</v>
      </c>
      <c r="B37" s="12" t="s">
        <v>1584</v>
      </c>
      <c r="C37" s="13">
        <v>7.92</v>
      </c>
      <c r="D37" s="13">
        <v>2.87</v>
      </c>
    </row>
    <row r="38" ht="47.25" spans="1:4">
      <c r="A38" s="11" t="s">
        <v>1585</v>
      </c>
      <c r="B38" s="12" t="s">
        <v>1586</v>
      </c>
      <c r="C38" s="13">
        <v>0.48</v>
      </c>
      <c r="D38" s="13">
        <v>0.36</v>
      </c>
    </row>
    <row r="39" spans="1:4">
      <c r="A39" s="7" t="s">
        <v>1587</v>
      </c>
      <c r="B39" s="14" t="s">
        <v>734</v>
      </c>
      <c r="C39" s="15">
        <f>SUM(C37:C38)</f>
        <v>8.4</v>
      </c>
      <c r="D39" s="15">
        <f>SUM(D37:D38)</f>
        <v>3.23</v>
      </c>
    </row>
    <row r="40" spans="1:4">
      <c r="A40" s="17" t="s">
        <v>1588</v>
      </c>
      <c r="B40" s="17"/>
      <c r="C40" s="15">
        <f>C39+C35+C28+C16</f>
        <v>87.16</v>
      </c>
      <c r="D40" s="15">
        <f>D39+D35+D28+D16</f>
        <v>48.34</v>
      </c>
    </row>
    <row r="42" ht="15" customHeight="1" spans="1:4">
      <c r="A42" s="18" t="s">
        <v>1589</v>
      </c>
      <c r="B42" s="18"/>
      <c r="C42" s="18"/>
      <c r="D42" s="18"/>
    </row>
    <row r="43" ht="15" spans="1:4">
      <c r="A43" s="18"/>
      <c r="B43" s="18"/>
      <c r="C43" s="18"/>
      <c r="D43" s="18"/>
    </row>
    <row r="44" ht="15" spans="1:4">
      <c r="A44" s="18"/>
      <c r="B44" s="18"/>
      <c r="C44" s="18"/>
      <c r="D44" s="18"/>
    </row>
  </sheetData>
  <mergeCells count="10">
    <mergeCell ref="A1:D1"/>
    <mergeCell ref="A2:D2"/>
    <mergeCell ref="A3:D3"/>
    <mergeCell ref="A4:D4"/>
    <mergeCell ref="A6:D6"/>
    <mergeCell ref="A17:D17"/>
    <mergeCell ref="A29:D29"/>
    <mergeCell ref="A36:D36"/>
    <mergeCell ref="A40:B40"/>
    <mergeCell ref="A42:D44"/>
  </mergeCells>
  <pageMargins left="0.511805555555556" right="0.511805555555556" top="1.82777777777778" bottom="0.786805555555556" header="0.313888888888889" footer="0.313888888888889"/>
  <pageSetup paperSize="9" scale="64" orientation="portrait"/>
  <headerFooter>
    <oddHeader>&amp;C
&amp;G
DEFENSORIA PÚBLICA DO ESTADO DE RORAIMA
“Amazônia: Patrimônio dos brasileiros”
____________________________________________________________________________________________________</oddHead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Instituto Federal de Roraima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PB III - Orçamento Sintetico</vt:lpstr>
      <vt:lpstr>PB IV - Cronograma</vt:lpstr>
      <vt:lpstr>PB V - Curva ABC</vt:lpstr>
      <vt:lpstr>PB VI - Memorial</vt:lpstr>
      <vt:lpstr>PB VIII - Composições Auxilia</vt:lpstr>
      <vt:lpstr>PB VII - Cotação</vt:lpstr>
      <vt:lpstr>PB IX - BDI</vt:lpstr>
      <vt:lpstr>PB IX - BDI dif.</vt:lpstr>
      <vt:lpstr>PB IX - Enc. Sociais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da Silva Santos</dc:creator>
  <cp:lastModifiedBy>Vinicius Diniz</cp:lastModifiedBy>
  <dcterms:created xsi:type="dcterms:W3CDTF">2014-08-05T13:44:00Z</dcterms:created>
  <cp:lastPrinted>2017-09-05T14:25:00Z</cp:lastPrinted>
  <dcterms:modified xsi:type="dcterms:W3CDTF">2017-10-17T13:11:12Z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1033-10.2.0.5934</vt:lpwstr>
  </property>
</Properties>
</file>