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G:\Caracarai\Licitação (não desonerado)\ANEXO PB III ; ANEXO PB IV; ANEXO PB VI; ANEXO PB V; ANEXO PB VII; ANEXO VIII e ANEXO IX\"/>
    </mc:Choice>
  </mc:AlternateContent>
  <bookViews>
    <workbookView xWindow="0" yWindow="0" windowWidth="19890" windowHeight="8370" tabRatio="888" firstSheet="6" activeTab="6" xr2:uid="{00000000-000D-0000-FFFF-FFFF00000000}"/>
  </bookViews>
  <sheets>
    <sheet name="PB III - Planilha Orçamentaria" sheetId="1" r:id="rId1"/>
    <sheet name="PB V - CURVA ABC" sheetId="17" r:id="rId2"/>
    <sheet name="PB IV - Cronograma" sheetId="15" r:id="rId3"/>
    <sheet name="PB VI - MEMÓRIA DE CÁLCULO" sheetId="7" r:id="rId4"/>
    <sheet name="PB VIII - Comp. Auxiliares" sheetId="3" r:id="rId5"/>
    <sheet name="PB VII - Cotações" sheetId="13" r:id="rId6"/>
    <sheet name="PB IX.A - BDI" sheetId="9" r:id="rId7"/>
    <sheet name="PB IX.B - BDI Diferenciado" sheetId="12" r:id="rId8"/>
    <sheet name="PB IX.C - Encargos Sociais" sheetId="11" r:id="rId9"/>
  </sheets>
  <definedNames>
    <definedName name="_xlnm._FilterDatabase" localSheetId="1" hidden="1">'PB V - CURVA ABC'!$B$8:$G$116</definedName>
    <definedName name="_xlnm.Print_Area" localSheetId="0">'PB III - Planilha Orçamentaria'!$A$2:$G$123</definedName>
    <definedName name="_xlnm.Print_Area" localSheetId="2">'PB IV - Cronograma'!$A$1:$F$45</definedName>
    <definedName name="_xlnm.Print_Area" localSheetId="6">'PB IX.A - BDI'!$A$1:$I$53</definedName>
    <definedName name="_xlnm.Print_Area" localSheetId="7">'PB IX.B - BDI Diferenciado'!$A$1:$I$52</definedName>
    <definedName name="_xlnm.Print_Area" localSheetId="8">'PB IX.C - Encargos Sociais'!$A$1:$D$46</definedName>
    <definedName name="_xlnm.Print_Area" localSheetId="1">'PB V - CURVA ABC'!$B$1:$J$79</definedName>
    <definedName name="_xlnm.Print_Area" localSheetId="3">'PB VI - MEMÓRIA DE CÁLCULO'!$A$1:$G$101</definedName>
    <definedName name="_xlnm.Print_Area" localSheetId="5">'PB VII - Cotações'!$A$1:$F$80</definedName>
    <definedName name="_xlnm.Print_Area" localSheetId="4">'PB VIII - Comp. Auxiliares'!$A$1:$F$212</definedName>
    <definedName name="_xlnm.Print_Titles" localSheetId="0">'PB III - Planilha Orçamentaria'!$2:$10</definedName>
    <definedName name="_xlnm.Print_Titles" localSheetId="2">'PB IV - Cronograma'!$1:$5</definedName>
    <definedName name="_xlnm.Print_Titles" localSheetId="3">'PB VI - MEMÓRIA DE CÁLCULO'!$1:$5</definedName>
    <definedName name="_xlnm.Print_Titles" localSheetId="4">'PB VIII - Comp. Auxiliares'!$1:$6</definedName>
  </definedNames>
  <calcPr calcId="171027"/>
</workbook>
</file>

<file path=xl/calcChain.xml><?xml version="1.0" encoding="utf-8"?>
<calcChain xmlns="http://schemas.openxmlformats.org/spreadsheetml/2006/main">
  <c r="H10" i="17" l="1"/>
  <c r="H13" i="17"/>
  <c r="H14" i="17"/>
  <c r="H18" i="17"/>
  <c r="H22" i="17"/>
  <c r="H25" i="17"/>
  <c r="H34" i="17"/>
  <c r="H38" i="17"/>
  <c r="H42" i="17"/>
  <c r="H45" i="17"/>
  <c r="H46" i="17"/>
  <c r="H49" i="17"/>
  <c r="H50" i="17"/>
  <c r="H54" i="17"/>
  <c r="H58" i="17"/>
  <c r="H65" i="17"/>
  <c r="H70" i="17"/>
  <c r="H71" i="17"/>
  <c r="H74" i="17"/>
  <c r="H78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9" i="17"/>
  <c r="I9" i="17" s="1"/>
  <c r="I10" i="17" s="1"/>
  <c r="G21" i="17"/>
  <c r="H21" i="17" s="1"/>
  <c r="G18" i="17"/>
  <c r="G32" i="17"/>
  <c r="H32" i="17" s="1"/>
  <c r="G74" i="17"/>
  <c r="G66" i="17"/>
  <c r="H66" i="17" s="1"/>
  <c r="G38" i="17"/>
  <c r="G49" i="17"/>
  <c r="G59" i="17"/>
  <c r="H59" i="17" s="1"/>
  <c r="G60" i="17"/>
  <c r="H60" i="17" s="1"/>
  <c r="G20" i="17"/>
  <c r="H20" i="17" s="1"/>
  <c r="G50" i="17"/>
  <c r="G70" i="17"/>
  <c r="G76" i="17"/>
  <c r="H76" i="17" s="1"/>
  <c r="G67" i="17"/>
  <c r="H67" i="17" s="1"/>
  <c r="G71" i="17"/>
  <c r="G73" i="17"/>
  <c r="H73" i="17" s="1"/>
  <c r="G79" i="17"/>
  <c r="H79" i="17" s="1"/>
  <c r="G14" i="17"/>
  <c r="G12" i="17"/>
  <c r="H12" i="17" s="1"/>
  <c r="G35" i="17"/>
  <c r="H35" i="17" s="1"/>
  <c r="G30" i="17"/>
  <c r="H30" i="17" s="1"/>
  <c r="G77" i="17"/>
  <c r="H77" i="17" s="1"/>
  <c r="G46" i="17"/>
  <c r="G75" i="17"/>
  <c r="H75" i="17" s="1"/>
  <c r="G43" i="17"/>
  <c r="H43" i="17" s="1"/>
  <c r="G17" i="17"/>
  <c r="H17" i="17" s="1"/>
  <c r="G72" i="17"/>
  <c r="H72" i="17" s="1"/>
  <c r="G15" i="17"/>
  <c r="H15" i="17" s="1"/>
  <c r="G68" i="17"/>
  <c r="H68" i="17" s="1"/>
  <c r="G40" i="17"/>
  <c r="H40" i="17" s="1"/>
  <c r="G48" i="17"/>
  <c r="H48" i="17" s="1"/>
  <c r="G78" i="17"/>
  <c r="G57" i="17"/>
  <c r="H57" i="17" s="1"/>
  <c r="G41" i="17"/>
  <c r="H41" i="17" s="1"/>
  <c r="G45" i="17"/>
  <c r="G44" i="17"/>
  <c r="H44" i="17" s="1"/>
  <c r="G36" i="17"/>
  <c r="H36" i="17" s="1"/>
  <c r="G53" i="17"/>
  <c r="H53" i="17" s="1"/>
  <c r="G65" i="17"/>
  <c r="G64" i="17"/>
  <c r="H64" i="17" s="1"/>
  <c r="G51" i="17"/>
  <c r="H51" i="17" s="1"/>
  <c r="G63" i="17"/>
  <c r="H63" i="17" s="1"/>
  <c r="G28" i="17"/>
  <c r="H28" i="17" s="1"/>
  <c r="G42" i="17"/>
  <c r="G62" i="17"/>
  <c r="H62" i="17" s="1"/>
  <c r="G61" i="17"/>
  <c r="H61" i="17" s="1"/>
  <c r="G34" i="17"/>
  <c r="G33" i="17"/>
  <c r="H33" i="17" s="1"/>
  <c r="G69" i="17"/>
  <c r="H69" i="17" s="1"/>
  <c r="G52" i="17"/>
  <c r="H52" i="17" s="1"/>
  <c r="G25" i="17"/>
  <c r="G37" i="17"/>
  <c r="H37" i="17" s="1"/>
  <c r="G26" i="17"/>
  <c r="H26" i="17" s="1"/>
  <c r="G47" i="17"/>
  <c r="H47" i="17" s="1"/>
  <c r="G39" i="17"/>
  <c r="H39" i="17" s="1"/>
  <c r="G58" i="17"/>
  <c r="G56" i="17"/>
  <c r="H56" i="17" s="1"/>
  <c r="G55" i="17"/>
  <c r="H55" i="17" s="1"/>
  <c r="G54" i="17"/>
  <c r="G27" i="17"/>
  <c r="H27" i="17" s="1"/>
  <c r="G16" i="17"/>
  <c r="H16" i="17" s="1"/>
  <c r="G24" i="17"/>
  <c r="H24" i="17" s="1"/>
  <c r="G13" i="17"/>
  <c r="G29" i="17"/>
  <c r="H29" i="17" s="1"/>
  <c r="G19" i="17"/>
  <c r="H19" i="17" s="1"/>
  <c r="G31" i="17"/>
  <c r="H31" i="17" s="1"/>
  <c r="G23" i="17"/>
  <c r="H23" i="17" s="1"/>
  <c r="G22" i="17"/>
  <c r="G11" i="17"/>
  <c r="H11" i="17" s="1"/>
  <c r="G10" i="17"/>
  <c r="G9" i="17"/>
  <c r="D41" i="11"/>
  <c r="D42" i="11" s="1"/>
  <c r="C41" i="11"/>
  <c r="D37" i="11"/>
  <c r="C37" i="11"/>
  <c r="D30" i="11"/>
  <c r="C30" i="11"/>
  <c r="D18" i="11"/>
  <c r="C18" i="11"/>
  <c r="A5" i="11"/>
  <c r="A3" i="11"/>
  <c r="I20" i="12"/>
  <c r="I19" i="12"/>
  <c r="I21" i="12" s="1"/>
  <c r="I16" i="12"/>
  <c r="I17" i="12" s="1"/>
  <c r="I14" i="12"/>
  <c r="I15" i="12" s="1"/>
  <c r="I12" i="12"/>
  <c r="I11" i="12"/>
  <c r="I10" i="12"/>
  <c r="I13" i="12" s="1"/>
  <c r="B34" i="12" s="1"/>
  <c r="A4" i="12"/>
  <c r="A3" i="12"/>
  <c r="D39" i="9"/>
  <c r="I22" i="9"/>
  <c r="I21" i="9"/>
  <c r="I20" i="9"/>
  <c r="I19" i="9"/>
  <c r="I17" i="9"/>
  <c r="D35" i="9" s="1"/>
  <c r="I16" i="9"/>
  <c r="I14" i="9"/>
  <c r="I15" i="9" s="1"/>
  <c r="I13" i="9"/>
  <c r="I12" i="9"/>
  <c r="I11" i="9"/>
  <c r="I10" i="9"/>
  <c r="A4" i="9"/>
  <c r="A3" i="9"/>
  <c r="F80" i="13"/>
  <c r="F76" i="13"/>
  <c r="F72" i="13"/>
  <c r="F68" i="13"/>
  <c r="F64" i="13"/>
  <c r="F60" i="13"/>
  <c r="F56" i="13"/>
  <c r="F52" i="13"/>
  <c r="F47" i="13"/>
  <c r="E42" i="13"/>
  <c r="F42" i="13" s="1"/>
  <c r="F38" i="13"/>
  <c r="C34" i="13"/>
  <c r="F34" i="13" s="1"/>
  <c r="E163" i="3" s="1"/>
  <c r="F163" i="3" s="1"/>
  <c r="F30" i="13"/>
  <c r="F24" i="13"/>
  <c r="F20" i="13"/>
  <c r="F16" i="13"/>
  <c r="F12" i="13"/>
  <c r="E26" i="3" s="1"/>
  <c r="A3" i="13"/>
  <c r="F209" i="3"/>
  <c r="F208" i="3"/>
  <c r="D207" i="3"/>
  <c r="F207" i="3" s="1"/>
  <c r="F195" i="3"/>
  <c r="F194" i="3"/>
  <c r="F193" i="3"/>
  <c r="F192" i="3"/>
  <c r="F196" i="3" s="1"/>
  <c r="F187" i="3"/>
  <c r="E187" i="3"/>
  <c r="A187" i="3"/>
  <c r="F186" i="3"/>
  <c r="F185" i="3"/>
  <c r="F188" i="3" s="1"/>
  <c r="F180" i="3"/>
  <c r="E180" i="3"/>
  <c r="A180" i="3"/>
  <c r="F179" i="3"/>
  <c r="F178" i="3"/>
  <c r="F181" i="3" s="1"/>
  <c r="A173" i="3"/>
  <c r="E172" i="3"/>
  <c r="F172" i="3" s="1"/>
  <c r="F171" i="3"/>
  <c r="F170" i="3"/>
  <c r="A165" i="3"/>
  <c r="E164" i="3"/>
  <c r="F164" i="3" s="1"/>
  <c r="A164" i="3"/>
  <c r="A163" i="3"/>
  <c r="A162" i="3"/>
  <c r="F161" i="3"/>
  <c r="A161" i="3"/>
  <c r="F160" i="3"/>
  <c r="F159" i="3"/>
  <c r="A153" i="3"/>
  <c r="F152" i="3"/>
  <c r="E152" i="3"/>
  <c r="A152" i="3"/>
  <c r="F151" i="3"/>
  <c r="A151" i="3"/>
  <c r="A150" i="3"/>
  <c r="F149" i="3"/>
  <c r="E149" i="3"/>
  <c r="A149" i="3"/>
  <c r="F148" i="3"/>
  <c r="F147" i="3"/>
  <c r="F142" i="3"/>
  <c r="E141" i="3"/>
  <c r="F141" i="3" s="1"/>
  <c r="A141" i="3"/>
  <c r="F140" i="3"/>
  <c r="F139" i="3"/>
  <c r="F135" i="3"/>
  <c r="F134" i="3"/>
  <c r="F133" i="3"/>
  <c r="F128" i="3"/>
  <c r="F127" i="3"/>
  <c r="F129" i="3" s="1"/>
  <c r="F122" i="3"/>
  <c r="F121" i="3"/>
  <c r="F123" i="3" s="1"/>
  <c r="F116" i="3"/>
  <c r="F115" i="3"/>
  <c r="F114" i="3"/>
  <c r="E114" i="3"/>
  <c r="A114" i="3"/>
  <c r="E113" i="3"/>
  <c r="F113" i="3" s="1"/>
  <c r="A113" i="3"/>
  <c r="F112" i="3"/>
  <c r="F111" i="3"/>
  <c r="F110" i="3"/>
  <c r="F109" i="3"/>
  <c r="F104" i="3"/>
  <c r="F103" i="3"/>
  <c r="F102" i="3"/>
  <c r="F101" i="3"/>
  <c r="F100" i="3"/>
  <c r="F105" i="3" s="1"/>
  <c r="F95" i="3"/>
  <c r="F94" i="3"/>
  <c r="F93" i="3"/>
  <c r="F92" i="3"/>
  <c r="F96" i="3" s="1"/>
  <c r="F67" i="1" s="1"/>
  <c r="G67" i="1" s="1"/>
  <c r="F87" i="3"/>
  <c r="F86" i="3"/>
  <c r="F85" i="3"/>
  <c r="F84" i="3"/>
  <c r="F79" i="3"/>
  <c r="F78" i="3"/>
  <c r="F77" i="3"/>
  <c r="E76" i="3"/>
  <c r="F76" i="3" s="1"/>
  <c r="F80" i="3" s="1"/>
  <c r="A76" i="3"/>
  <c r="F71" i="3"/>
  <c r="F70" i="3"/>
  <c r="F72" i="3" s="1"/>
  <c r="F65" i="3"/>
  <c r="F64" i="3"/>
  <c r="F63" i="3"/>
  <c r="F62" i="3"/>
  <c r="F66" i="3" s="1"/>
  <c r="F57" i="3"/>
  <c r="E56" i="3"/>
  <c r="F56" i="3" s="1"/>
  <c r="F58" i="3" s="1"/>
  <c r="B56" i="3"/>
  <c r="A56" i="3"/>
  <c r="F51" i="3"/>
  <c r="F50" i="3"/>
  <c r="F49" i="3"/>
  <c r="F48" i="3"/>
  <c r="F47" i="3"/>
  <c r="F52" i="3" s="1"/>
  <c r="F38" i="1" s="1"/>
  <c r="G38" i="1" s="1"/>
  <c r="F42" i="3"/>
  <c r="F41" i="3"/>
  <c r="F40" i="3"/>
  <c r="F43" i="3" s="1"/>
  <c r="F35" i="3"/>
  <c r="F34" i="3"/>
  <c r="F33" i="3"/>
  <c r="F36" i="3" s="1"/>
  <c r="F28" i="3"/>
  <c r="F27" i="3"/>
  <c r="F26" i="3"/>
  <c r="A26" i="3"/>
  <c r="E25" i="3"/>
  <c r="F25" i="3" s="1"/>
  <c r="F29" i="3" s="1"/>
  <c r="A25" i="3"/>
  <c r="F20" i="3"/>
  <c r="F19" i="3"/>
  <c r="F18" i="3"/>
  <c r="F11" i="3"/>
  <c r="F10" i="3"/>
  <c r="F12" i="3" s="1"/>
  <c r="A6" i="3"/>
  <c r="A3" i="3"/>
  <c r="G95" i="7"/>
  <c r="E95" i="7"/>
  <c r="E94" i="7"/>
  <c r="G94" i="7" s="1"/>
  <c r="G89" i="7"/>
  <c r="E100" i="1" s="1"/>
  <c r="G100" i="1" s="1"/>
  <c r="G87" i="7"/>
  <c r="G88" i="7" s="1"/>
  <c r="G83" i="7"/>
  <c r="E83" i="7"/>
  <c r="E82" i="7"/>
  <c r="G82" i="7" s="1"/>
  <c r="G81" i="7"/>
  <c r="C81" i="7"/>
  <c r="E80" i="7"/>
  <c r="C80" i="7"/>
  <c r="G80" i="7" s="1"/>
  <c r="E79" i="7"/>
  <c r="C79" i="7"/>
  <c r="G79" i="7" s="1"/>
  <c r="G78" i="7"/>
  <c r="C78" i="7"/>
  <c r="E77" i="7"/>
  <c r="C77" i="7"/>
  <c r="G77" i="7" s="1"/>
  <c r="G73" i="7"/>
  <c r="F70" i="7"/>
  <c r="C70" i="7"/>
  <c r="F66" i="7"/>
  <c r="G65" i="7"/>
  <c r="G49" i="7"/>
  <c r="G47" i="7"/>
  <c r="D47" i="7"/>
  <c r="C47" i="7"/>
  <c r="B47" i="7"/>
  <c r="G45" i="7"/>
  <c r="D45" i="7"/>
  <c r="C45" i="7"/>
  <c r="B45" i="7"/>
  <c r="G43" i="7"/>
  <c r="D43" i="7"/>
  <c r="C43" i="7"/>
  <c r="B43" i="7"/>
  <c r="G38" i="7"/>
  <c r="D38" i="7"/>
  <c r="C38" i="7"/>
  <c r="B38" i="7"/>
  <c r="G37" i="7"/>
  <c r="G50" i="7" s="1"/>
  <c r="D37" i="7"/>
  <c r="C37" i="7"/>
  <c r="B37" i="7"/>
  <c r="G32" i="7"/>
  <c r="G31" i="7"/>
  <c r="B30" i="7"/>
  <c r="G30" i="7" s="1"/>
  <c r="G33" i="7" s="1"/>
  <c r="G29" i="7"/>
  <c r="B29" i="7"/>
  <c r="D28" i="7"/>
  <c r="G28" i="7" s="1"/>
  <c r="G27" i="7"/>
  <c r="G26" i="7"/>
  <c r="G25" i="7"/>
  <c r="G24" i="7"/>
  <c r="G23" i="7"/>
  <c r="D23" i="7"/>
  <c r="G22" i="7"/>
  <c r="G21" i="7"/>
  <c r="C21" i="7"/>
  <c r="G15" i="7"/>
  <c r="A5" i="7"/>
  <c r="A3" i="7"/>
  <c r="A5" i="15"/>
  <c r="A3" i="15"/>
  <c r="G118" i="1"/>
  <c r="F118" i="1"/>
  <c r="A118" i="1"/>
  <c r="A112" i="1"/>
  <c r="A111" i="1"/>
  <c r="G108" i="1"/>
  <c r="E108" i="1"/>
  <c r="G107" i="1"/>
  <c r="E107" i="1"/>
  <c r="G106" i="1"/>
  <c r="E106" i="1"/>
  <c r="G105" i="1"/>
  <c r="E105" i="1"/>
  <c r="G104" i="1"/>
  <c r="G102" i="1" s="1"/>
  <c r="F30" i="15" s="1"/>
  <c r="D31" i="15" s="1"/>
  <c r="E104" i="1"/>
  <c r="G103" i="1"/>
  <c r="E103" i="1"/>
  <c r="E99" i="1"/>
  <c r="G99" i="1" s="1"/>
  <c r="G98" i="1"/>
  <c r="E98" i="1"/>
  <c r="F97" i="1"/>
  <c r="G97" i="1" s="1"/>
  <c r="A97" i="1"/>
  <c r="G96" i="1"/>
  <c r="F95" i="1"/>
  <c r="G95" i="1" s="1"/>
  <c r="A95" i="1"/>
  <c r="G93" i="1"/>
  <c r="E93" i="1"/>
  <c r="F90" i="1"/>
  <c r="E90" i="1"/>
  <c r="G90" i="1" s="1"/>
  <c r="A90" i="1"/>
  <c r="F89" i="1"/>
  <c r="E89" i="1"/>
  <c r="G89" i="1" s="1"/>
  <c r="G88" i="1" s="1"/>
  <c r="F24" i="15" s="1"/>
  <c r="C25" i="15" s="1"/>
  <c r="A89" i="1"/>
  <c r="G86" i="1"/>
  <c r="G85" i="1"/>
  <c r="G84" i="1"/>
  <c r="G83" i="1"/>
  <c r="G82" i="1"/>
  <c r="F82" i="1"/>
  <c r="A82" i="1"/>
  <c r="F81" i="1"/>
  <c r="G81" i="1" s="1"/>
  <c r="A81" i="1"/>
  <c r="A80" i="1"/>
  <c r="A79" i="1"/>
  <c r="A78" i="1"/>
  <c r="A77" i="1"/>
  <c r="G76" i="1"/>
  <c r="F76" i="1"/>
  <c r="C76" i="1"/>
  <c r="A76" i="1"/>
  <c r="G75" i="1"/>
  <c r="F75" i="1"/>
  <c r="A75" i="1"/>
  <c r="G74" i="1"/>
  <c r="F74" i="1"/>
  <c r="A74" i="1"/>
  <c r="G73" i="1"/>
  <c r="G72" i="1"/>
  <c r="C69" i="1"/>
  <c r="A69" i="1"/>
  <c r="F68" i="1"/>
  <c r="G68" i="1" s="1"/>
  <c r="A68" i="1"/>
  <c r="A67" i="1"/>
  <c r="C66" i="1"/>
  <c r="A66" i="1"/>
  <c r="G65" i="1"/>
  <c r="F65" i="1"/>
  <c r="A65" i="1"/>
  <c r="G64" i="1"/>
  <c r="G63" i="1"/>
  <c r="G62" i="1"/>
  <c r="G61" i="1"/>
  <c r="G60" i="1"/>
  <c r="G59" i="1"/>
  <c r="G57" i="1"/>
  <c r="F57" i="1"/>
  <c r="A57" i="1"/>
  <c r="G56" i="1"/>
  <c r="F56" i="1"/>
  <c r="A56" i="1"/>
  <c r="G55" i="1"/>
  <c r="G53" i="1"/>
  <c r="E53" i="1"/>
  <c r="G52" i="1"/>
  <c r="G51" i="1"/>
  <c r="G50" i="1"/>
  <c r="G48" i="1"/>
  <c r="G47" i="1"/>
  <c r="G46" i="1"/>
  <c r="G45" i="1"/>
  <c r="F45" i="1"/>
  <c r="C45" i="1"/>
  <c r="A45" i="1"/>
  <c r="G44" i="1"/>
  <c r="G43" i="1"/>
  <c r="G42" i="1"/>
  <c r="G41" i="1"/>
  <c r="G40" i="1"/>
  <c r="C38" i="1"/>
  <c r="A38" i="1"/>
  <c r="G37" i="1"/>
  <c r="G36" i="1"/>
  <c r="G35" i="1"/>
  <c r="C35" i="1"/>
  <c r="A35" i="1"/>
  <c r="F34" i="1"/>
  <c r="G34" i="1" s="1"/>
  <c r="C34" i="1"/>
  <c r="A34" i="1"/>
  <c r="F33" i="1"/>
  <c r="G33" i="1" s="1"/>
  <c r="A33" i="1"/>
  <c r="E29" i="1"/>
  <c r="A29" i="1"/>
  <c r="E28" i="1"/>
  <c r="G28" i="1" s="1"/>
  <c r="G27" i="1"/>
  <c r="E27" i="1"/>
  <c r="E26" i="1"/>
  <c r="G26" i="1" s="1"/>
  <c r="G25" i="1"/>
  <c r="E25" i="1"/>
  <c r="E24" i="1"/>
  <c r="G24" i="1" s="1"/>
  <c r="G23" i="1"/>
  <c r="E23" i="1"/>
  <c r="F17" i="1"/>
  <c r="A17" i="1"/>
  <c r="E13" i="1"/>
  <c r="G13" i="1" s="1"/>
  <c r="G11" i="1" s="1"/>
  <c r="I11" i="17" l="1"/>
  <c r="I12" i="17" s="1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I34" i="17" s="1"/>
  <c r="I35" i="17" s="1"/>
  <c r="I36" i="17" s="1"/>
  <c r="I37" i="17" s="1"/>
  <c r="I38" i="17" s="1"/>
  <c r="I39" i="17" s="1"/>
  <c r="I40" i="17" s="1"/>
  <c r="I41" i="17" s="1"/>
  <c r="I42" i="17" s="1"/>
  <c r="I43" i="17" s="1"/>
  <c r="I44" i="17" s="1"/>
  <c r="I45" i="17" s="1"/>
  <c r="I46" i="17" s="1"/>
  <c r="I47" i="17" s="1"/>
  <c r="I48" i="17" s="1"/>
  <c r="I49" i="17" s="1"/>
  <c r="I50" i="17" s="1"/>
  <c r="I51" i="17" s="1"/>
  <c r="I52" i="17" s="1"/>
  <c r="I53" i="17" s="1"/>
  <c r="I54" i="17" s="1"/>
  <c r="I55" i="17" s="1"/>
  <c r="I56" i="17" s="1"/>
  <c r="I57" i="17" s="1"/>
  <c r="I58" i="17" s="1"/>
  <c r="I59" i="17" s="1"/>
  <c r="I60" i="17" s="1"/>
  <c r="I61" i="17" s="1"/>
  <c r="I62" i="17" s="1"/>
  <c r="I63" i="17" s="1"/>
  <c r="I64" i="17" s="1"/>
  <c r="I65" i="17" s="1"/>
  <c r="I66" i="17" s="1"/>
  <c r="I67" i="17" s="1"/>
  <c r="I68" i="17" s="1"/>
  <c r="I69" i="17" s="1"/>
  <c r="I70" i="17" s="1"/>
  <c r="I71" i="17" s="1"/>
  <c r="I72" i="17" s="1"/>
  <c r="I73" i="17" s="1"/>
  <c r="I74" i="17" s="1"/>
  <c r="I75" i="17" s="1"/>
  <c r="I76" i="17" s="1"/>
  <c r="I77" i="17" s="1"/>
  <c r="I78" i="17" s="1"/>
  <c r="I79" i="17" s="1"/>
  <c r="I88" i="17" s="1"/>
  <c r="I89" i="17" s="1"/>
  <c r="I90" i="17" s="1"/>
  <c r="I91" i="17" s="1"/>
  <c r="I92" i="17" s="1"/>
  <c r="I93" i="17" s="1"/>
  <c r="I94" i="17" s="1"/>
  <c r="I95" i="17" s="1"/>
  <c r="I96" i="17" s="1"/>
  <c r="I97" i="17" s="1"/>
  <c r="I98" i="17" s="1"/>
  <c r="I99" i="17" s="1"/>
  <c r="I100" i="17" s="1"/>
  <c r="I101" i="17" s="1"/>
  <c r="I102" i="17" s="1"/>
  <c r="I103" i="17" s="1"/>
  <c r="I104" i="17" s="1"/>
  <c r="I105" i="17" s="1"/>
  <c r="I106" i="17" s="1"/>
  <c r="I107" i="17" s="1"/>
  <c r="I108" i="17" s="1"/>
  <c r="I109" i="17" s="1"/>
  <c r="I110" i="17" s="1"/>
  <c r="I111" i="17" s="1"/>
  <c r="I112" i="17" s="1"/>
  <c r="I113" i="17" s="1"/>
  <c r="I114" i="17" s="1"/>
  <c r="I115" i="17" s="1"/>
  <c r="I116" i="17" s="1"/>
  <c r="K10" i="17"/>
  <c r="K9" i="17"/>
  <c r="K85" i="17"/>
  <c r="K81" i="17"/>
  <c r="K77" i="17"/>
  <c r="K73" i="17"/>
  <c r="K69" i="17"/>
  <c r="K65" i="17"/>
  <c r="K61" i="17"/>
  <c r="K57" i="17"/>
  <c r="K53" i="17"/>
  <c r="K49" i="17"/>
  <c r="K45" i="17"/>
  <c r="K41" i="17"/>
  <c r="K37" i="17"/>
  <c r="K33" i="17"/>
  <c r="K29" i="17"/>
  <c r="K25" i="17"/>
  <c r="K21" i="17"/>
  <c r="K17" i="17"/>
  <c r="K13" i="17"/>
  <c r="K84" i="17"/>
  <c r="K80" i="17"/>
  <c r="K76" i="17"/>
  <c r="K72" i="17"/>
  <c r="K68" i="17"/>
  <c r="K64" i="17"/>
  <c r="K60" i="17"/>
  <c r="K56" i="17"/>
  <c r="K52" i="17"/>
  <c r="K48" i="17"/>
  <c r="K44" i="17"/>
  <c r="K40" i="17"/>
  <c r="K36" i="17"/>
  <c r="K32" i="17"/>
  <c r="K28" i="17"/>
  <c r="K24" i="17"/>
  <c r="K20" i="17"/>
  <c r="K16" i="17"/>
  <c r="K12" i="17"/>
  <c r="K87" i="17"/>
  <c r="K83" i="17"/>
  <c r="K79" i="17"/>
  <c r="K75" i="17"/>
  <c r="K71" i="17"/>
  <c r="K67" i="17"/>
  <c r="K63" i="17"/>
  <c r="K59" i="17"/>
  <c r="K55" i="17"/>
  <c r="K51" i="17"/>
  <c r="K47" i="17"/>
  <c r="K43" i="17"/>
  <c r="K39" i="17"/>
  <c r="K35" i="17"/>
  <c r="K31" i="17"/>
  <c r="K27" i="17"/>
  <c r="K23" i="17"/>
  <c r="K19" i="17"/>
  <c r="K15" i="17"/>
  <c r="K11" i="17"/>
  <c r="K86" i="17"/>
  <c r="K82" i="17"/>
  <c r="K78" i="17"/>
  <c r="K74" i="17"/>
  <c r="K70" i="17"/>
  <c r="K66" i="17"/>
  <c r="K62" i="17"/>
  <c r="K58" i="17"/>
  <c r="K54" i="17"/>
  <c r="K50" i="17"/>
  <c r="K46" i="17"/>
  <c r="K42" i="17"/>
  <c r="K38" i="17"/>
  <c r="K34" i="17"/>
  <c r="K30" i="17"/>
  <c r="K26" i="17"/>
  <c r="K22" i="17"/>
  <c r="K18" i="17"/>
  <c r="K14" i="17"/>
  <c r="E19" i="1"/>
  <c r="E17" i="1"/>
  <c r="G17" i="1" s="1"/>
  <c r="E18" i="1"/>
  <c r="G18" i="1" s="1"/>
  <c r="F9" i="15"/>
  <c r="F154" i="3"/>
  <c r="F78" i="1" s="1"/>
  <c r="G78" i="1" s="1"/>
  <c r="E165" i="3"/>
  <c r="F165" i="3" s="1"/>
  <c r="E153" i="3"/>
  <c r="F153" i="3" s="1"/>
  <c r="C39" i="9"/>
  <c r="C35" i="9"/>
  <c r="G97" i="7"/>
  <c r="G101" i="7" s="1"/>
  <c r="D201" i="3" s="1"/>
  <c r="F201" i="3" s="1"/>
  <c r="F202" i="3" s="1"/>
  <c r="F111" i="1" s="1"/>
  <c r="G111" i="1" s="1"/>
  <c r="B38" i="12"/>
  <c r="G84" i="7"/>
  <c r="E94" i="1" s="1"/>
  <c r="G94" i="1" s="1"/>
  <c r="G92" i="1" s="1"/>
  <c r="F27" i="15" s="1"/>
  <c r="D38" i="12"/>
  <c r="D34" i="12"/>
  <c r="F119" i="1"/>
  <c r="F33" i="15"/>
  <c r="E34" i="15" s="1"/>
  <c r="G117" i="1"/>
  <c r="F21" i="3"/>
  <c r="F29" i="1" s="1"/>
  <c r="G29" i="1" s="1"/>
  <c r="G22" i="1" s="1"/>
  <c r="F15" i="15" s="1"/>
  <c r="C16" i="15" s="1"/>
  <c r="F88" i="3"/>
  <c r="F66" i="1" s="1"/>
  <c r="G66" i="1" s="1"/>
  <c r="G31" i="1" s="1"/>
  <c r="F18" i="15" s="1"/>
  <c r="F143" i="3"/>
  <c r="F77" i="1" s="1"/>
  <c r="G77" i="1" s="1"/>
  <c r="G71" i="1" s="1"/>
  <c r="F21" i="15" s="1"/>
  <c r="C22" i="15" s="1"/>
  <c r="F210" i="3"/>
  <c r="F112" i="1" s="1"/>
  <c r="G112" i="1" s="1"/>
  <c r="E173" i="3"/>
  <c r="F173" i="3" s="1"/>
  <c r="F174" i="3" s="1"/>
  <c r="F80" i="1" s="1"/>
  <c r="G80" i="1" s="1"/>
  <c r="E162" i="3"/>
  <c r="F162" i="3" s="1"/>
  <c r="E150" i="3"/>
  <c r="F150" i="3" s="1"/>
  <c r="C39" i="12"/>
  <c r="B43" i="12" s="1"/>
  <c r="C35" i="12"/>
  <c r="C40" i="9"/>
  <c r="B44" i="9" s="1"/>
  <c r="C36" i="9"/>
  <c r="C42" i="11"/>
  <c r="F117" i="3"/>
  <c r="F69" i="1" s="1"/>
  <c r="G69" i="1" s="1"/>
  <c r="F166" i="3"/>
  <c r="F79" i="1" s="1"/>
  <c r="G79" i="1" s="1"/>
  <c r="B39" i="9"/>
  <c r="B43" i="9" s="1"/>
  <c r="B47" i="9" s="1"/>
  <c r="F47" i="9" s="1"/>
  <c r="I23" i="9" s="1"/>
  <c r="B35" i="9"/>
  <c r="C38" i="12"/>
  <c r="C34" i="12"/>
  <c r="E28" i="15" l="1"/>
  <c r="D28" i="15"/>
  <c r="C28" i="15"/>
  <c r="E19" i="15"/>
  <c r="D19" i="15"/>
  <c r="C19" i="15"/>
  <c r="C10" i="15"/>
  <c r="B42" i="12"/>
  <c r="B46" i="12" s="1"/>
  <c r="F46" i="12" s="1"/>
  <c r="I22" i="12" s="1"/>
  <c r="E20" i="1"/>
  <c r="G20" i="1" s="1"/>
  <c r="G19" i="1"/>
  <c r="G15" i="1" s="1"/>
  <c r="F120" i="1"/>
  <c r="G110" i="1"/>
  <c r="F36" i="15" s="1"/>
  <c r="F12" i="15" l="1"/>
  <c r="F114" i="1"/>
  <c r="H114" i="1"/>
  <c r="E37" i="15"/>
  <c r="D37" i="15"/>
  <c r="C37" i="15"/>
  <c r="F115" i="1" l="1"/>
  <c r="H118" i="1"/>
  <c r="I114" i="1"/>
  <c r="C13" i="15"/>
  <c r="D13" i="15"/>
  <c r="F39" i="15"/>
  <c r="C39" i="15" l="1"/>
  <c r="E39" i="15"/>
  <c r="D39" i="15"/>
  <c r="H115" i="1"/>
  <c r="F122" i="1"/>
  <c r="I121" i="1" s="1"/>
  <c r="D41" i="15" l="1"/>
  <c r="D40" i="15"/>
  <c r="E40" i="15"/>
  <c r="E41" i="15"/>
  <c r="C40" i="15"/>
  <c r="C41" i="15"/>
  <c r="C42" i="15" s="1"/>
  <c r="D42" i="15" s="1"/>
  <c r="E42" i="15" l="1"/>
</calcChain>
</file>

<file path=xl/sharedStrings.xml><?xml version="1.0" encoding="utf-8"?>
<sst xmlns="http://schemas.openxmlformats.org/spreadsheetml/2006/main" count="1494" uniqueCount="591">
  <si>
    <t>ANEXO PB III - PLANILHA DE ORÇAMENTO SINTÉTICO</t>
  </si>
  <si>
    <t xml:space="preserve">OBRA: REFORMA DO PRÉDIO DA DEFENSORIA PÚBLICA DO ESTADO DE RORAIMA NO MUNICÍPIO DE CARACARAÍ  - DPE/RR </t>
  </si>
  <si>
    <t>ENDEREÇO:Av Dr. Zany, Bairro: Santa Luzia</t>
  </si>
  <si>
    <t>BASE: SINAPI RR JUNHO/2017 NÃO DESONERADO</t>
  </si>
  <si>
    <t xml:space="preserve">PRAZO = 75 DIAS </t>
  </si>
  <si>
    <t>CÓDIGO</t>
  </si>
  <si>
    <t>ITEM</t>
  </si>
  <si>
    <t>DESCRIMINAÇÃO DOS SERVIÇOS</t>
  </si>
  <si>
    <t>UND.</t>
  </si>
  <si>
    <t>QUANT.</t>
  </si>
  <si>
    <t>P.UNIT.</t>
  </si>
  <si>
    <t>P.TOTAL</t>
  </si>
  <si>
    <t>SERVIÇOS PRELIMINARES</t>
  </si>
  <si>
    <t>I</t>
  </si>
  <si>
    <t>ITENS INICIAIS</t>
  </si>
  <si>
    <t>74209/001</t>
  </si>
  <si>
    <t>1.1</t>
  </si>
  <si>
    <t>Placa de obra em chapa de aço galvanizado, padrão encaminhando pela Defensoria Publica de Roraima, conforme especificações técnicas.</t>
  </si>
  <si>
    <t>m2</t>
  </si>
  <si>
    <t>PINTURAS</t>
  </si>
  <si>
    <t>REPINTURA DAS PAREDES EXISTENTES</t>
  </si>
  <si>
    <t>2.1</t>
  </si>
  <si>
    <t>Lixamento para retirar tinta existente</t>
  </si>
  <si>
    <t>88485</t>
  </si>
  <si>
    <t>2.2</t>
  </si>
  <si>
    <t xml:space="preserve">Aplicação de Fundo selador acrílico em paredes, uma demão </t>
  </si>
  <si>
    <t>2.3</t>
  </si>
  <si>
    <t>Aplicação e lixamento de massa látex em paredes, duas demãos.</t>
  </si>
  <si>
    <t>88489</t>
  </si>
  <si>
    <t>2.4</t>
  </si>
  <si>
    <t>Aplicação manual de pintura com tinta acrílica em paredes, duas demãos (COR APROVADA pela fiscalização)</t>
  </si>
  <si>
    <t>INCÊNDIO</t>
  </si>
  <si>
    <t>3.1</t>
  </si>
  <si>
    <t>tipo S-3 (130/260MM) – material  PVC- 2mm – fotoluminescente</t>
  </si>
  <si>
    <t>und</t>
  </si>
  <si>
    <t>3.2</t>
  </si>
  <si>
    <t>tipo S2-E (130/260MM) – material PVC - 2mm – fotoluminescente</t>
  </si>
  <si>
    <t>3.3</t>
  </si>
  <si>
    <t>tipo S2-D (130/260MM) – material PVC – 2mm – fotoluminescente</t>
  </si>
  <si>
    <t>3.4</t>
  </si>
  <si>
    <t>tipo E-17 (1000/1000MM)- PINTADA NO PISO com tinta epoxi, conforme detalhamento no respectivo projeto</t>
  </si>
  <si>
    <t>37557</t>
  </si>
  <si>
    <t>3.5</t>
  </si>
  <si>
    <t>tipo E-5 ( diâmetro 150MM) – material PVC – 2mm –fotoluminescente</t>
  </si>
  <si>
    <t>83635</t>
  </si>
  <si>
    <t>3.6</t>
  </si>
  <si>
    <t>Extintores tipo Pó ABC (Fabricante ou Distribuidora deve ser credenciado no Corpo de Bombeiro do Estado)</t>
  </si>
  <si>
    <t>3.7</t>
  </si>
  <si>
    <t>Luminaria de Emergencia 60LED</t>
  </si>
  <si>
    <t>ELETRICO</t>
  </si>
  <si>
    <t>PONTOS DE UTILIZAÇÃO</t>
  </si>
  <si>
    <t>4.1</t>
  </si>
  <si>
    <t>Luminária sobrepor com aletas T8/T10 2x18W LED - fornecimento e instalação.</t>
  </si>
  <si>
    <t>4.2</t>
  </si>
  <si>
    <t>4.3</t>
  </si>
  <si>
    <t>4.4</t>
  </si>
  <si>
    <t>Tomada alta de embutir (1 módulo), 2P+T 10 A, incluindo suporte e placa - fornecimento e instalação.</t>
  </si>
  <si>
    <t>4.5</t>
  </si>
  <si>
    <t xml:space="preserve">Tomada baixa de embutir (2 módulos), 2P+T 10 A, incluindo suporte e placa - fornecimento e instalação. </t>
  </si>
  <si>
    <t>4.6</t>
  </si>
  <si>
    <t>II</t>
  </si>
  <si>
    <t>ELETRODUTOS E CAIXAS</t>
  </si>
  <si>
    <t>4.7</t>
  </si>
  <si>
    <t xml:space="preserve">Rasgo em alvenaria para eletrodutos com diametros menores ou iguais a 40 mm. </t>
  </si>
  <si>
    <t>m</t>
  </si>
  <si>
    <t>4.8</t>
  </si>
  <si>
    <t xml:space="preserve">Chumbamento linear em alvenaria para ramais/distribuição com diâmetros menores ou iguais a 40 mm. </t>
  </si>
  <si>
    <t>4.9</t>
  </si>
  <si>
    <t>Eletroduto flexível corrugado, pvc, dn 25 mm (3/4”), para circuitos terminais, instalado em parede - fornecimento e instalação.</t>
  </si>
  <si>
    <t>4.10</t>
  </si>
  <si>
    <t xml:space="preserve">Eletroduto rígido roscável, pvc, dn 25 mm (3/4), para circuitos terminais, instalado em laje - fornecimento e instalação. </t>
  </si>
  <si>
    <t>4.11</t>
  </si>
  <si>
    <t xml:space="preserve">Eletroduto rígido roscável, pvc, dn 60 mm (2") - fornecimento e instalação. </t>
  </si>
  <si>
    <t>4.12</t>
  </si>
  <si>
    <t>4.13</t>
  </si>
  <si>
    <t xml:space="preserve">Quebra em alvenaria para instalação de caixa de tomada (4x4 ou 4x2) </t>
  </si>
  <si>
    <t>4.14</t>
  </si>
  <si>
    <t>Caixa retangular 4” x 2” baixa (0,30 m do piso), pvc, instalada em parede - fornecimento e instalação.</t>
  </si>
  <si>
    <t>4.15</t>
  </si>
  <si>
    <t>Caixa de passagem 50x50x60 fundo brita c/ tampa</t>
  </si>
  <si>
    <t>III</t>
  </si>
  <si>
    <t>CABOS</t>
  </si>
  <si>
    <t>4.16</t>
  </si>
  <si>
    <t xml:space="preserve">Cabo de cobre flexível isolado, 2,5 mm², anti-chama 450/750v, para circuitos terminais - fornecimento e instalação. </t>
  </si>
  <si>
    <t>4.17</t>
  </si>
  <si>
    <t xml:space="preserve">Cabo de cobre flexível isolado, 6 mm², anti-chama 0,6/1,0kv, para circuitos terminais - fornecimento e instalação. </t>
  </si>
  <si>
    <t>4.18</t>
  </si>
  <si>
    <t xml:space="preserve">Cabo de cobre flexível isolado, 16 mm², anti-chama 0,6/1,0kv, para distribuição - fornecimento e instalação. </t>
  </si>
  <si>
    <t>4.19</t>
  </si>
  <si>
    <t xml:space="preserve">Cabo de cobre flexível isolado, 35 mm², anti-chama 0,6/1,2kv, para distribuição - fornecimento e instalação. </t>
  </si>
  <si>
    <t>ATERRAMENTO</t>
  </si>
  <si>
    <t>4.20</t>
  </si>
  <si>
    <t>Cabo de cobre nu 50mm² - fornecimento e instalacao</t>
  </si>
  <si>
    <t>4.21</t>
  </si>
  <si>
    <t>Haste de aterramento em aco com 2,40 m de comprimento e dn = 5/8", revestida com baixa camada de cobre, com conector - fornecimento e instalação.</t>
  </si>
  <si>
    <t>4.22</t>
  </si>
  <si>
    <t>Caixa inspeção em concreto, com tampa para aterramento diametro = 300 mm - fornecimento e instalação.</t>
  </si>
  <si>
    <t>IV</t>
  </si>
  <si>
    <t>ADEQUAÇÃO DOD QUADRO</t>
  </si>
  <si>
    <t>4.23</t>
  </si>
  <si>
    <t xml:space="preserve">Disjuntor monopolar tipo DIN, corrente nominal de 10A - fornecimento e instalação. </t>
  </si>
  <si>
    <t>4.24</t>
  </si>
  <si>
    <t xml:space="preserve">Disjuntor monopolar tipo DIN, corrente nominal de 16A - fornecimento e instalação. </t>
  </si>
  <si>
    <t>4.25</t>
  </si>
  <si>
    <t xml:space="preserve">Disjuntor bipolar tipo DIN, corrente nominal de 10A - fornecimento e instalação. </t>
  </si>
  <si>
    <t>4.26</t>
  </si>
  <si>
    <t xml:space="preserve">Disjuntor bipolar tipo DIN, corrente nominal de 16A - fornecimento e instalação. </t>
  </si>
  <si>
    <t>4.27</t>
  </si>
  <si>
    <t xml:space="preserve">Disjuntor bipolar tipo DIN, corrente nominal de 25A - fornecimento e instalação. </t>
  </si>
  <si>
    <t>4.28</t>
  </si>
  <si>
    <t xml:space="preserve">Disjuntor tripolar tipo DIN, corrente nominal de 20A - fornecimento e instalação. </t>
  </si>
  <si>
    <t>4.29</t>
  </si>
  <si>
    <t xml:space="preserve">Disjuntor tripolar tipo DIN, corrente nominal de 100A - fornecimento e instalação. </t>
  </si>
  <si>
    <t>4.30</t>
  </si>
  <si>
    <t>4.31</t>
  </si>
  <si>
    <t>Dispositivo DR, bipolar, corrente nominal de 40A, 30mA - fornecimento e instalação.</t>
  </si>
  <si>
    <t>4.32</t>
  </si>
  <si>
    <t>Dispositivo DPS classe II, 1 polo, tensão máxima de 175 V, corrente maxima de 45kA (tipo AC) - fornecimento e instalação.</t>
  </si>
  <si>
    <t>4.33</t>
  </si>
  <si>
    <t>CABEAMENTO ESTRUTURADO (LÓGICA)</t>
  </si>
  <si>
    <t>5.1</t>
  </si>
  <si>
    <t>5.2</t>
  </si>
  <si>
    <t>5.3</t>
  </si>
  <si>
    <t xml:space="preserve">Tomada baixa de embutir (2 módulos), RJ-45 Cat5e, incluindo suporte e placa (4" x 2") - fornecimento e instalação. </t>
  </si>
  <si>
    <t>5.4</t>
  </si>
  <si>
    <t xml:space="preserve">Tomada baixa de embutir (3 módulos), RJ-45 Cat5e, incluindo suporte e placa (4"x4") - fornecimento e instalação.  </t>
  </si>
  <si>
    <t>5.5</t>
  </si>
  <si>
    <t>5.6</t>
  </si>
  <si>
    <t>Eletrocalha Perfurada em Aço Galvanizado 50x50mm, inclusive emenda e fixação, fornecimento e instalação.</t>
  </si>
  <si>
    <t xml:space="preserve">m </t>
  </si>
  <si>
    <t>5.7</t>
  </si>
  <si>
    <t>Tê Horizontal 90̊ para Eletrocalha Perfurada em Aço Galvanizado 50x50mm, fornecimento e instalação.</t>
  </si>
  <si>
    <t>5.8</t>
  </si>
  <si>
    <t>Cotovelo reto 90̊ para Eletrocalha Perfurada em Aço Galvanizado  50x50mm, fornecimento e instalação.</t>
  </si>
  <si>
    <t>5.9</t>
  </si>
  <si>
    <t>Curva de inversão para  Eletrocalha Perfurada em Aço Galvanizado 50x50mm.</t>
  </si>
  <si>
    <t>5.10</t>
  </si>
  <si>
    <t>Terminal para Eletrocalha Perfurada em Aço Galvanizado 50x50mm.</t>
  </si>
  <si>
    <t>5.11</t>
  </si>
  <si>
    <t>Derivação para eletroduto 3/4" para Eletrocalha Perfurada em Aço Galvanizado.</t>
  </si>
  <si>
    <t>5.12</t>
  </si>
  <si>
    <t>5.13</t>
  </si>
  <si>
    <t>5.14</t>
  </si>
  <si>
    <t>Eletroduto de aço galvanizado, classe leve, dn 20 mm (3/4"), aparente, instalado em teto - fornecimento e instalação.</t>
  </si>
  <si>
    <t>5.15</t>
  </si>
  <si>
    <t>Eletroduto rígido roscável, pvc, dn 60 mm (2") - fornecimento e instalação.</t>
  </si>
  <si>
    <t>ACESSIBILIDADE</t>
  </si>
  <si>
    <t>6.1</t>
  </si>
  <si>
    <t>Fornecimento e assentamento de piso tátil DIRECIONAL –ÁREA INTERNA - 25x25 cm</t>
  </si>
  <si>
    <t>6.2</t>
  </si>
  <si>
    <t>Fornecimento e assentamento de piso tátil ALERTA  –ÁREA INTERNA – 25x25 cm</t>
  </si>
  <si>
    <t>DIVERSOS</t>
  </si>
  <si>
    <t>73948/011</t>
  </si>
  <si>
    <t>7.1</t>
  </si>
  <si>
    <t>Limpeza Revestimento Cerâmico Piso</t>
  </si>
  <si>
    <t>7.2</t>
  </si>
  <si>
    <t>Limpeza Revestimento Cerâmico Parede Banheiro</t>
  </si>
  <si>
    <t>7.3</t>
  </si>
  <si>
    <t>Simbolo da Defensoria Pública com Letreiro com Letras aço inox (AISI 304), chapa num. 22, Recortado, H=20 cm - Dizeres: DEFENSORIA PÚBLICA DO ESTADO DE RORAIMA - BONFIM, com letras em Aço Inox Chapa 22 - com fixação no local indicado pela Fiscalização</t>
  </si>
  <si>
    <t>7.4</t>
  </si>
  <si>
    <t>Limpeza Castelo D'água</t>
  </si>
  <si>
    <t>7.5</t>
  </si>
  <si>
    <t>Limpeza da Fossa e Sumidouro</t>
  </si>
  <si>
    <t>73801/001</t>
  </si>
  <si>
    <t>7.6</t>
  </si>
  <si>
    <t>Demolição Pisos banheiro Gabinetes</t>
  </si>
  <si>
    <t>7.7</t>
  </si>
  <si>
    <t>Contrapiso Banheiro</t>
  </si>
  <si>
    <t>7.8</t>
  </si>
  <si>
    <t>Revestimento Banheiro a cor de base deverá ser após a limpeza</t>
  </si>
  <si>
    <t>BASE E ABRIGO PARA QUADRO GERADOR</t>
  </si>
  <si>
    <t>8.1</t>
  </si>
  <si>
    <t>Casa para quadro de transferência</t>
  </si>
  <si>
    <t>8.2</t>
  </si>
  <si>
    <t>Piso casa do Gerador</t>
  </si>
  <si>
    <t>8.3</t>
  </si>
  <si>
    <t>Estrutura de cobertura</t>
  </si>
  <si>
    <t>8.4</t>
  </si>
  <si>
    <t>Telha Fibrocimento</t>
  </si>
  <si>
    <t>8.5</t>
  </si>
  <si>
    <t xml:space="preserve">Base para gerador, concreto moldado in loco, espessura de 15cm. </t>
  </si>
  <si>
    <t>m3</t>
  </si>
  <si>
    <t>8.6</t>
  </si>
  <si>
    <t>Ferragem base do gerador</t>
  </si>
  <si>
    <t xml:space="preserve"> DESPESAS INDIRETAS DA OBRA</t>
  </si>
  <si>
    <t>9.1</t>
  </si>
  <si>
    <t>Despesas de transporte de materiais p/ o canteiro</t>
  </si>
  <si>
    <t>9.2</t>
  </si>
  <si>
    <t>Administração local da obra</t>
  </si>
  <si>
    <t>CUSTO TOTAL</t>
  </si>
  <si>
    <t>PREÇO TOTAL (BDI 25,55%)</t>
  </si>
  <si>
    <t>Equipamentos</t>
  </si>
  <si>
    <t>10.1</t>
  </si>
  <si>
    <t>Grupo Gerador, a diesesl, montado em contêiner, silenciado com potência mínima de 53/48 kVA - 42/38 kWe (Emergência / Principal), trifásico, com fator de potência 0,8, na tensão de 220 /127 V, 60Hz, ligado à rede de energia elétrica do prédio através de chave de transferência automática.</t>
  </si>
  <si>
    <t>PREÇO TOTAL (BDI DIFERENCIADO 15,28%)</t>
  </si>
  <si>
    <t>Desonerado</t>
  </si>
  <si>
    <t>OBSERVAÇÕES:                                                                                                                                                                                                                                    1 - Os serviços de despesas indiretas da obra devem ser medidos e pagos conforme o pecentual de execução da obra e deve ser mostrado no boletim de medição.</t>
  </si>
  <si>
    <t>ANEXO PB IV - CRONOGRAMA FÍSICO-FINANCEIRO</t>
  </si>
  <si>
    <t>SERVIÇOS</t>
  </si>
  <si>
    <t>30D</t>
  </si>
  <si>
    <t>60D</t>
  </si>
  <si>
    <t>75D</t>
  </si>
  <si>
    <t>TOTAL</t>
  </si>
  <si>
    <t>ELÉTRICO</t>
  </si>
  <si>
    <t>CABEAMENTO ESTRUTURADO (TELEFONE E LÓGICA)</t>
  </si>
  <si>
    <t>BASE E ABRIGO GRUPO GERADOR</t>
  </si>
  <si>
    <t>GERADOR</t>
  </si>
  <si>
    <t>PERCENTUAL SIMPLES</t>
  </si>
  <si>
    <t>PERCENTUAL ACUMULADO</t>
  </si>
  <si>
    <t>TOTAL SIMPLES</t>
  </si>
  <si>
    <t>TOTAL ACUMULADO</t>
  </si>
  <si>
    <t>OBSERVAÇÃO:</t>
  </si>
  <si>
    <t>ANEXO PB VI  -  MEMÓRIA DE CÁLCULO DOS QUANTITATIVOS</t>
  </si>
  <si>
    <t>0 - DADOS DA OBRA</t>
  </si>
  <si>
    <t>DISCRIMINAÇÃO</t>
  </si>
  <si>
    <t>AREA</t>
  </si>
  <si>
    <t>AREA CONSTRUIDA</t>
  </si>
  <si>
    <t>AREA TOTAL</t>
  </si>
  <si>
    <t>1 - ITENS INICIAIS (M²)</t>
  </si>
  <si>
    <t>COMPRIM.</t>
  </si>
  <si>
    <t>ALTURA</t>
  </si>
  <si>
    <t>PLACA DA OBRA</t>
  </si>
  <si>
    <t>2 - PINTURA(M²)</t>
  </si>
  <si>
    <t>DESCONTO</t>
  </si>
  <si>
    <t>LADOS</t>
  </si>
  <si>
    <t>EXTERNO</t>
  </si>
  <si>
    <t>P1</t>
  </si>
  <si>
    <t>P2</t>
  </si>
  <si>
    <t>P3</t>
  </si>
  <si>
    <t>P4</t>
  </si>
  <si>
    <t>P5</t>
  </si>
  <si>
    <t>P6</t>
  </si>
  <si>
    <t>P7</t>
  </si>
  <si>
    <t>P8</t>
  </si>
  <si>
    <t>PILAR</t>
  </si>
  <si>
    <t>PLATIBANDA</t>
  </si>
  <si>
    <t>DETALHE DA COBERTURA</t>
  </si>
  <si>
    <t>CONTORNO LAJE HALL</t>
  </si>
  <si>
    <t>INTERNO</t>
  </si>
  <si>
    <t>PORTAS / JANELAS</t>
  </si>
  <si>
    <t>PASTILHAS</t>
  </si>
  <si>
    <t>Recepção</t>
  </si>
  <si>
    <t>Auditoio</t>
  </si>
  <si>
    <t>Banheiro Masculino</t>
  </si>
  <si>
    <t>REVESTIMENTO ATÉ TETO</t>
  </si>
  <si>
    <t>PNE</t>
  </si>
  <si>
    <t>Lavanderia</t>
  </si>
  <si>
    <t>Banheiro Feminino</t>
  </si>
  <si>
    <t>Circulação</t>
  </si>
  <si>
    <t>Copa/Cozinha</t>
  </si>
  <si>
    <t>Gabinete 01</t>
  </si>
  <si>
    <t>W.C.</t>
  </si>
  <si>
    <t>Gabinete 02</t>
  </si>
  <si>
    <t>W.C. 02</t>
  </si>
  <si>
    <t>03 - INCENDIO</t>
  </si>
  <si>
    <t>UNIDADE</t>
  </si>
  <si>
    <t>PLACA S-3</t>
  </si>
  <si>
    <t>RETIRADO PROJETO</t>
  </si>
  <si>
    <t>PLACA S2-E</t>
  </si>
  <si>
    <t>PLACA S2-D</t>
  </si>
  <si>
    <t>TIPO E-17</t>
  </si>
  <si>
    <t>PLACA  E-5</t>
  </si>
  <si>
    <t>EXTINTORES PO ABC</t>
  </si>
  <si>
    <t>LUMINARIA DE EMERGÊNCIA</t>
  </si>
  <si>
    <t>6 - ACESSIBILIDADE</t>
  </si>
  <si>
    <t>QUANTIDADE</t>
  </si>
  <si>
    <t>AREA UNID</t>
  </si>
  <si>
    <t>07 - BASE E ABRIGO PARA GERADOR E QUADRO DE TRANSFERENCIA</t>
  </si>
  <si>
    <t>Comp.</t>
  </si>
  <si>
    <t>altura</t>
  </si>
  <si>
    <t>largura</t>
  </si>
  <si>
    <t>Area (m²)</t>
  </si>
  <si>
    <t>Volume</t>
  </si>
  <si>
    <t>Casa Gerador</t>
  </si>
  <si>
    <t>Piso Casa Gerador</t>
  </si>
  <si>
    <t>Estrutura Cobertura e Telha</t>
  </si>
  <si>
    <t>Piso base gerador</t>
  </si>
  <si>
    <t>08 - DIVERSOS</t>
  </si>
  <si>
    <t>COMP.</t>
  </si>
  <si>
    <t>DESC.</t>
  </si>
  <si>
    <t>W.C. 01</t>
  </si>
  <si>
    <t>Descrição</t>
  </si>
  <si>
    <t>m²</t>
  </si>
  <si>
    <t>Demolição Piso</t>
  </si>
  <si>
    <t>Contrapiso</t>
  </si>
  <si>
    <t>Revestimento  Cerâmico</t>
  </si>
  <si>
    <t>2 - TRANSPORTE DE MATERIAL</t>
  </si>
  <si>
    <t>DISCRIMINAÇÃO (UNIDADE)</t>
  </si>
  <si>
    <t>COMPOSI.</t>
  </si>
  <si>
    <t>CONSUMO</t>
  </si>
  <si>
    <t>PESO ESPECÍF. (KG/UND)</t>
  </si>
  <si>
    <t>PESO TOTAL (TON)</t>
  </si>
  <si>
    <t>MASSA CORRIDA</t>
  </si>
  <si>
    <t>31,45Kg/Unid</t>
  </si>
  <si>
    <t>TINTAS</t>
  </si>
  <si>
    <t>1,14Kg/l</t>
  </si>
  <si>
    <t>Distância até Caracaraí</t>
  </si>
  <si>
    <t>km</t>
  </si>
  <si>
    <t>tonxkm</t>
  </si>
  <si>
    <t>ANEXO PB V -  CURVA ABC DOS PREÇOS</t>
  </si>
  <si>
    <t>PREÇO (R$)</t>
  </si>
  <si>
    <t>PART. (%)</t>
  </si>
  <si>
    <t>PART. ACUM. (%)</t>
  </si>
  <si>
    <t>COTAÇÃO 016</t>
  </si>
  <si>
    <t>FAIXA A</t>
  </si>
  <si>
    <t>COMP. 26 - DPE</t>
  </si>
  <si>
    <t>COTAÇÃO 017</t>
  </si>
  <si>
    <t>COMP. 03 - DPE</t>
  </si>
  <si>
    <t>COMP. 24 - DPE</t>
  </si>
  <si>
    <t>FAIXA B</t>
  </si>
  <si>
    <t>COMP. 01 - DPE</t>
  </si>
  <si>
    <t>COMP. 14 - DPE</t>
  </si>
  <si>
    <t>Adequação da entrada de energia elétrica aérea trifásica 100 A , inclusive cabeamento, caixa de proteção para medidor e aterramento.</t>
  </si>
  <si>
    <t>COMP. 06 - DPE</t>
  </si>
  <si>
    <t>Troca do ponto de tomada das centrais de ar</t>
  </si>
  <si>
    <t>COMP. 05 - DPE</t>
  </si>
  <si>
    <t>Reator para lâmpada vapor metalico até 400 w, alto fator de potencia, uso externo - fornecimento e instalação</t>
  </si>
  <si>
    <t>COMP. 02 - DPE</t>
  </si>
  <si>
    <t>COMP. 18 - DPE</t>
  </si>
  <si>
    <t>FAIXA C</t>
  </si>
  <si>
    <t>COMP. 13 - DPE</t>
  </si>
  <si>
    <t>COMP. 09 - DPE</t>
  </si>
  <si>
    <t>COMP. 20 - DPE</t>
  </si>
  <si>
    <t>COMP. 17 - DPE</t>
  </si>
  <si>
    <t xml:space="preserve">Tomada baixa de embutir (4 módulos), RJ-45 Cat5e, incluindo suporte e placa (4" x 4") - fornecimento e instalação. </t>
  </si>
  <si>
    <t>COMP. 08 - DPE</t>
  </si>
  <si>
    <t>COMP. 16- DPE</t>
  </si>
  <si>
    <t>COMP. 04 - DPE</t>
  </si>
  <si>
    <t>Lâmpada multivapor metálico 150 W ovóide para uso na horizontal - fornecimento e instalação</t>
  </si>
  <si>
    <t>COMP. 10 - DPE</t>
  </si>
  <si>
    <t>COMP. 11 - DPE</t>
  </si>
  <si>
    <t>Dispositivo DR, bipolar, corrente nominal de 63A, 30mA - fornecimento e instalação.</t>
  </si>
  <si>
    <t>COMP. 12 - DPE</t>
  </si>
  <si>
    <t>COMP. 15 - DPE</t>
  </si>
  <si>
    <t>COMP. 25 - DPE</t>
  </si>
  <si>
    <t>COMP. 19 - DPE</t>
  </si>
  <si>
    <t>COMP. 07 - DPE</t>
  </si>
  <si>
    <t>Canaleta PVC 20x10mm - fornecimento e instalação</t>
  </si>
  <si>
    <t>COMP. 21 - DPE</t>
  </si>
  <si>
    <t>COMP. 23 - DPE</t>
  </si>
  <si>
    <t>COMP. 22 - DPE</t>
  </si>
  <si>
    <t>ANEXO PB VIII - COMPOSIÇÕES DE CUSTOS AUXILIARES</t>
  </si>
  <si>
    <t>LIXAMENTO DE PAREDE 1 DEMÃO</t>
  </si>
  <si>
    <t>UNID.=</t>
  </si>
  <si>
    <t>M2</t>
  </si>
  <si>
    <t>CÓD. SINAPI</t>
  </si>
  <si>
    <t>DESCRIÇÃO</t>
  </si>
  <si>
    <t>UN</t>
  </si>
  <si>
    <t>LIXA EM FOLHA PARA PAREDE OU MADEIRA, NUMERO 120 (COR VERMELHA)</t>
  </si>
  <si>
    <t>UND</t>
  </si>
  <si>
    <t>Servente com encargos complementares</t>
  </si>
  <si>
    <t>h</t>
  </si>
  <si>
    <t>LUMINÁRIA EMERGÊNCIA 60 LEDS</t>
  </si>
  <si>
    <t>0038774</t>
  </si>
  <si>
    <t>LUMINÁRIA  EMERGÊNCIA 60 LEDS</t>
  </si>
  <si>
    <t>un</t>
  </si>
  <si>
    <t>FITA ISOLANTE -19mmx5m</t>
  </si>
  <si>
    <t>ROLO</t>
  </si>
  <si>
    <t>Eletricista</t>
  </si>
  <si>
    <t>H</t>
  </si>
  <si>
    <t>88247</t>
  </si>
  <si>
    <t>Ajudante Especializado</t>
  </si>
  <si>
    <t>Luminária de sobrepor com aletas T8/T10 2x18W LED - fornecimento e instalação.</t>
  </si>
  <si>
    <t>Luminária sobrepor com aletas T8/T10 2x32x36x40W</t>
  </si>
  <si>
    <t>Lampada Tubular LED 18W</t>
  </si>
  <si>
    <t>Eletricista com encargos complementares</t>
  </si>
  <si>
    <t>Lâmpada vapor metalico ovoide 150 w, base e27/e40</t>
  </si>
  <si>
    <t>Auxiliar de eletricista com encargos complementares</t>
  </si>
  <si>
    <t>Reator interno/integrado para lampada vapor metalico 400 w, alto fator de potencia</t>
  </si>
  <si>
    <t>Remoção de tomadas ou interruptores elétricos</t>
  </si>
  <si>
    <t>Remoção de fiação elétrica</t>
  </si>
  <si>
    <t>Tomada alta de embutir (1 módulo), 2P+T 20 A, incluindo suporte e placa - fornecimento e instalação.</t>
  </si>
  <si>
    <t>Caixa retangular 4” x 2” alta (2 m do piso), pvc, instalada em parede - fornecimento e instalação.</t>
  </si>
  <si>
    <t>Haste de aterramento em aco com 2,40 m de comprimento e dn = 5/8", revestida com baixa camada de cobre, sem conector</t>
  </si>
  <si>
    <t>Grampo metálico tipo olhal para haste de aterramento de 5/8'', condutor de10 a 50 mm²</t>
  </si>
  <si>
    <t>Caixa inspecao em concreto para aterramento e para raios diametro = 300 mm</t>
  </si>
  <si>
    <t>Disjuntor tipo DIN/IEC, tripolar corrente nominal de 100A</t>
  </si>
  <si>
    <t>Terminal a compressao em cobre estanhado para cabo 70mm², 1 furo e 1 compressao, para parafuso de fixacao m10</t>
  </si>
  <si>
    <t>Dispositivo DR, 2 polos, sensibilidade de 30 mA, corrente de 63A, tipo AC</t>
  </si>
  <si>
    <t>Terminal a compressao em cobre estanhado para cabo 4mm², 1 furo e 1 compressao, para parafuso de fixacao m5</t>
  </si>
  <si>
    <t>Dispositivo DR, 2 polos, sensibilidade de 30 mA, corrente de 40A, tipo AC</t>
  </si>
  <si>
    <t>Dispositivo DPS classe II, 1 polo, tensão máxima de 175 V, corrente maxima de 45kA (tipo AC)</t>
  </si>
  <si>
    <t>Parafuso zincado, sextavado, com rosca inteira, diametro 5/8", comprimento 3", com porca e arruela de pressao media</t>
  </si>
  <si>
    <t>Arruela quadrada em aco galvanizado, dimensao = 38 mm, espessura = 3mm, diametro do furo= 18 mm</t>
  </si>
  <si>
    <t>Cabo de cobre, flexivel, classe 4 ou 5, isolacao em pvc/a, antichama bwf-b, cobertura pvc-st1, antichama bwf-b, 1 condutor, 0,6/1 kv, secao nominal 16 mm2</t>
  </si>
  <si>
    <t>Cabo de cobre, flexivel, classe 4 ou 5, isolacao em pvc/a, antichama bwf-b, cobertura pvc-st1, antichama bwf-b, 1 condutor, 0,6/1 kv, secao nominal 35 mm2</t>
  </si>
  <si>
    <t xml:space="preserve">Disjuntor tripolar tipo DIN, corrente nominal de 100A </t>
  </si>
  <si>
    <t>Caixa de medição, para medição direta, padrão Eletrobrás Distribuição Roraima</t>
  </si>
  <si>
    <t>Suporte parafusado com placa de encaixe 4" x 2" baixo (0,30 m do piso) para ponto elétrico - fornecimento e instalação. Af_12/2015</t>
  </si>
  <si>
    <t>Tomada RJ45, 8 fios, cat 5e (apenas modulo)</t>
  </si>
  <si>
    <t xml:space="preserve">Tomada baixa de embutir (3 módulos), RJ-45 Cat5e, incluindo suporte e placa (4" x 4") - fornecimento e instalação. </t>
  </si>
  <si>
    <t>Suporte parafusado com placa de encaixe 4" x 4" baixo (0,30 m do piso) para ponto elétrico - fornecimento e instalação. Af_12/2015</t>
  </si>
  <si>
    <t>ELETRICISTA COM ENCARGOS COMPLEMENTARES</t>
  </si>
  <si>
    <t>AUXILIAR DE ELETRICISTA COM ENCARGOS
COMPLEMENTARES</t>
  </si>
  <si>
    <t>ELETROCALHA PERFURADA EM CHAPA DE
AÇO GALVANIZADO, 50x50x3000 mm</t>
  </si>
  <si>
    <t>FIXAÇÃO DE TUBOS HORIZONTAIS DE COBRE DIÂMETROS    ≤ 40MM OU ELETROCALHAS ATÉ 150MM DE LARGURA,
COM ABRAÇADEIRA METÁLICA RÍGIDA TIPO D 1/2”,
FIXADA DIRETAMENTE NA LAJE</t>
  </si>
  <si>
    <t>TÊ HORIZONTAL 90° PARA ELETROCALHA EM
CHAPA DE AÇO GALVANIZADO 50X50MM</t>
  </si>
  <si>
    <t>TALA PARA EMENDA DE ELETROCALHA PERFURADA</t>
  </si>
  <si>
    <t>PARAFUSO CABEÇA LENTILHA ¼” X ¾”</t>
  </si>
  <si>
    <t>ARRUELA SIMPLES ¼”</t>
  </si>
  <si>
    <t>PORCA SEXTAVADA ¼”</t>
  </si>
  <si>
    <t>Cotovelo Reto 90º para Eletrocalha Perfurada em Aço Galvanizado 50x50mm, fornecimento e instalação.</t>
  </si>
  <si>
    <t>COTOVELO RETO 90° PARA ELETROCALHA EM
CHAPA DE AÇO GALVANIZADO 50X50MM</t>
  </si>
  <si>
    <t>COTAÇÃO 015</t>
  </si>
  <si>
    <t>CURVA DE INVERSÃO ELETROCALHA EM
CHAPA DE AÇO GALVANIZADO 75X50MM</t>
  </si>
  <si>
    <t>Terminal para Eletrocalha Perfurada em Aço Galvanizado 50mm.</t>
  </si>
  <si>
    <t>TERMINAL PARA ELETROCALHA EM
CHAPA DE AÇO GALVANIZADO 50MM</t>
  </si>
  <si>
    <t>DERIVAÇÃO PARA ELETRODUDTO 3/4" PARA ELETROCALHA EM CHAPA DE AÇO GALVANIZADO</t>
  </si>
  <si>
    <t>PISO TÁTIL DIRECIONAL / ALERTA – ÁREAS INTERNAS OU EXTERNAS</t>
  </si>
  <si>
    <t>00038181</t>
  </si>
  <si>
    <t>PISO TATIL DE ALERTA DE BORRACHA, 25 X 25 CM, E = 12 MM, PARA ARGAMASSA, CORES</t>
  </si>
  <si>
    <t>87620</t>
  </si>
  <si>
    <t>ARGAMASSA 1:4  CIMENTO + AREIA –  ESP. 2 a 3cm</t>
  </si>
  <si>
    <t>88262</t>
  </si>
  <si>
    <t>Montador</t>
  </si>
  <si>
    <t>88239</t>
  </si>
  <si>
    <t>Servente</t>
  </si>
  <si>
    <t>DESPESAS DE TRANSPORTE DE MATERIAL PARA O CANTEIRO</t>
  </si>
  <si>
    <t>Materiais Diversos</t>
  </si>
  <si>
    <t>OBS: Verificar memória de cálculo</t>
  </si>
  <si>
    <t>ADMINISTRAÇÃO LOCAL DA OBRA</t>
  </si>
  <si>
    <t xml:space="preserve">Engenheiro ou Arquiteto com encargos complementares              </t>
  </si>
  <si>
    <t xml:space="preserve">Mestre de Obras com encargos complementares                      </t>
  </si>
  <si>
    <t xml:space="preserve">Vigia noturno com encargos complementares </t>
  </si>
  <si>
    <t>ANEXO PB VII - COTAÇÃO</t>
  </si>
  <si>
    <t>INSTALAÇÃO ELÉTRICA</t>
  </si>
  <si>
    <t>COTAÇÃO 001</t>
  </si>
  <si>
    <t>1ª Empresa</t>
  </si>
  <si>
    <t>2ª Empresa</t>
  </si>
  <si>
    <t>3ª Empresa</t>
  </si>
  <si>
    <t>4ª Empresa</t>
  </si>
  <si>
    <t>CASA DO ELETRICISTA COM. E CONST. LTDA    CNPJ: 84.012.418/0001-09 End.: Av. Venezuela, 2127 - Liberdade - CEP: 69.309-005 - BOA VISTA/RR</t>
  </si>
  <si>
    <t>BRASMOL - COM. SERV. IMP. E EXP. LTDA    CNPJ: 13.085.476/0001-14  End.: Av. Surumu, 2099 - Mecejana - CEP: 69.304-555 BOA VISTA/RR</t>
  </si>
  <si>
    <t>VIMEZER FORNC. DE SERV. LTDA    CNPJ: 10.159.093/0002-36  End.: Av. São Sebastião, 1647 - Santa Tereza - CEP: 69.312-318 - BOA VISTA/RR</t>
  </si>
  <si>
    <t>M.I. Revestimentos Ltda. CNPJ 10.490.181/0001-35. Endereço: Rua Marechal Deodoro, nº 717, 3º/4º/5º andares, Bairro Centro, Curitiba, Paraná.
CEP 80020-320</t>
  </si>
  <si>
    <t>MEDIANA (R$)</t>
  </si>
  <si>
    <t>Luminária sobrepor com aletas T8/T10 2x32/36/40W.</t>
  </si>
  <si>
    <t>COTAÇÃO 002</t>
  </si>
  <si>
    <t>CASTELÃO COM. MAT. DE CONST. LTDA   CNPJ:01.268.775/0001-05 End.: Mário H. de Melo, 5088 - Caimbé - CEP: 69.312-000 BOA VISTA/RR</t>
  </si>
  <si>
    <t>BRASFERRO - COM. IND. IMP. E EXP. LTDA    CNPJ: 84.054.329/0001-25 End.: Glaycon de Paiva, 2304 - Pricumã - CEP: 69.309-695  BOA VISTA/RR</t>
  </si>
  <si>
    <t>LM SGUARIO E SILVA &amp; CIA LTDA    CNPJ: 05.950.456/0001-36 End.: Glaycon de Paiva, 2609 - São Vicente - CEP: 69.303-340 - BOA VISTA/RR</t>
  </si>
  <si>
    <t xml:space="preserve">Lâmpada tubular de LED T8 18W </t>
  </si>
  <si>
    <t>COTAÇÃO 003</t>
  </si>
  <si>
    <t>COTAÇÃO 004</t>
  </si>
  <si>
    <t>COTAÇÃO 005</t>
  </si>
  <si>
    <t>Canaleta PVC, 2000x20x10mm</t>
  </si>
  <si>
    <t>CABEAMENTO ESTRUTURADO</t>
  </si>
  <si>
    <t>COTAÇÃO 006</t>
  </si>
  <si>
    <t>MAXTIL - CNPJ.: 07.265.878/0003-60 - Unidade Fabril São Paulo - Rua Rosa Mafei, 445 – Bonsucesso – Cep: 07177-110 – Guarulhos - SP - Tel. (11) 2631-9090</t>
  </si>
  <si>
    <t xml:space="preserve">PERFIL DUTO - Rua Elizabeth Koller, 201 – Itupeva- SP - Cep: 13295-000 -  Telefone de contato: (11) 4230-1860 (11) 4230-1866, comercial@perfilduto.com.br </t>
  </si>
  <si>
    <t>REAL PERFIL INDÚSTRIA E COMÉRCRIO LTDA - CNPJ: 69.179.448/0001-10
Av. Nossa Senhora do Ó, 955 - B. Limão - São Paulo/SP - Cep. 02715-000
Fone (11) 2134-0002 
email:vendas@realperfil.com.br</t>
  </si>
  <si>
    <t>Tala perfurada para emenda de eletrocalha  em aço galvanizado 50mm.</t>
  </si>
  <si>
    <t>COTAÇÃO 007</t>
  </si>
  <si>
    <t>Parafuso Cabeça lentilha, 1/4pol x 3/4pol.</t>
  </si>
  <si>
    <t>COTAÇÃO 008</t>
  </si>
  <si>
    <t>Arruela simples 1/4pol.</t>
  </si>
  <si>
    <t>COTAÇÃO 009</t>
  </si>
  <si>
    <t>Porca sextavada 1/4pol.</t>
  </si>
  <si>
    <t>COTAÇÃO 010</t>
  </si>
  <si>
    <t xml:space="preserve">PERFIL DUTO - CNPJ: 10.714.334/0001-80- Rua Elizabeth Koller, 201 – Itupeva- SP - Cep: 13295-000 -  Telefone de contato: (11) 4230-1860 (11) 4230-1866, comercial@perfilduto.com.br </t>
  </si>
  <si>
    <t>Eletrocalha perfurada 50mm x 50mm x 3000m</t>
  </si>
  <si>
    <t>COTAÇÃO 011</t>
  </si>
  <si>
    <t>T horizontal 90° para eletrocalha 50mm x 50mm.</t>
  </si>
  <si>
    <t>COTAÇÃO 012</t>
  </si>
  <si>
    <t>Cotovelo Reto 90° 50mm x 50mm.</t>
  </si>
  <si>
    <t>COTAÇÃO 013</t>
  </si>
  <si>
    <t>Terminal para elerocalha.</t>
  </si>
  <si>
    <t>COTAÇÃO 014</t>
  </si>
  <si>
    <t>Derivação de eletrocalha para eletroduto, 3/4 pol.</t>
  </si>
  <si>
    <t>Curva de inversão 75mm x 50mm.</t>
  </si>
  <si>
    <t>NOROESTE MANAUS, CNPJ: 18.918.142/0001-06, Av. Efigênio Sales nº 1800, Aleixo - Manaus (AM), Fone: 92-3303-9650 E-mail: marcos.silva@noroeste-am.com.br</t>
  </si>
  <si>
    <t>STEMAC S/A GRUPOS GERADORES, MANAUS/AM, CNPJ: 92.753.268/0014-37 Av. Tefe nº 2573 Complemento A, Bairro: Raiz Fone: 92-2123-8200 E-mail: manaus@stemac.com.br</t>
  </si>
  <si>
    <t>GENESyS SERVIÇOS E COMÉRCIO DE MATERIAIS ELÉTRICOS LTDA CNPJ: 12.114.056/0001-56, Matriz: Av. Nathan Xavier de Albuquerque, 1327, Lote Aguas Claras, Novo Aleixo, Manaus/AM, Fone: 92-3025-3804</t>
  </si>
  <si>
    <t>GRUPO GERADOR</t>
  </si>
  <si>
    <t>Público Color, Boa Vista, CNPJ: 34.804.062/0001-78, Av. Mario Homem de Melo, 1355 Mecejana CEP: 69304-350.  Telefone: (95) - 3224-6952 ou 99125-9067</t>
  </si>
  <si>
    <t>MGM gráfica, Boa Vista - RR, CNPJ: 04.948.442/0001-1, Av. Santos Dumont, nº 948. Telefone: (95) - 3224-2417</t>
  </si>
  <si>
    <r>
      <rPr>
        <sz val="12"/>
        <color theme="1"/>
        <rFont val="Times New Roman"/>
        <charset val="134"/>
      </rPr>
      <t>Quei</t>
    </r>
    <r>
      <rPr>
        <sz val="12"/>
        <rFont val="Times New Roman"/>
        <charset val="134"/>
      </rPr>
      <t xml:space="preserve">roz Gráfica e Comunicação Visual, 
CNPJ: 12.217.353/0001-27, Rua: Cecília Brasil, 767 - </t>
    </r>
    <r>
      <rPr>
        <sz val="12"/>
        <color theme="1"/>
        <rFont val="Times New Roman"/>
        <charset val="134"/>
      </rPr>
      <t>Centro. Telefone (95) 3623-3975</t>
    </r>
  </si>
  <si>
    <t>PLACA DA DEFENSORIA COM LETRAS ESCRITA "DEFENSORIA PÚBLICA DO ESTADO DE RORAIMA - BONFIM"</t>
  </si>
  <si>
    <t>COTAÇÃO 018</t>
  </si>
  <si>
    <t>Limpa Fossa Vapt Vupt
CNPJ: 34.797.365/0001-00 Rua: Francisco Anacleto da Silva, nº:2902, Bairro: Jardim Equatorial Telefone: (95) 99111-2722</t>
  </si>
  <si>
    <t>Limpa Fossa Toletão
CNPJ: 00.550.592/0001-15 Rua: Julio Pinto, nº:843, Bairro: Tancredo Neves Telefone: (95) 3627-0060 ou  3625-3651</t>
  </si>
  <si>
    <t>J. Castro Eda CNPJ:03.557.787/0001-85 Rua: Coronel Mota, nº:781, Bairro: Centro Telefone (95)99165-6173</t>
  </si>
  <si>
    <t>LIMPEZA DE FOSSA E SUMIDOURO</t>
  </si>
  <si>
    <t>ANEXO PB IX.A – CALCULO BDI</t>
  </si>
  <si>
    <t>COMPOSIÇÃO ANALÍTICA DO BDI - Construção de Edificação</t>
  </si>
  <si>
    <t>DISCRIMINIAÇÃO</t>
  </si>
  <si>
    <t>Índices</t>
  </si>
  <si>
    <t>ÍNDICE ADOTADO</t>
  </si>
  <si>
    <t>1º quartil</t>
  </si>
  <si>
    <t>médio</t>
  </si>
  <si>
    <t>3º quartil</t>
  </si>
  <si>
    <t>X</t>
  </si>
  <si>
    <t>Administração Central</t>
  </si>
  <si>
    <t>Seguro e Garantia</t>
  </si>
  <si>
    <t>Risco</t>
  </si>
  <si>
    <t>Total</t>
  </si>
  <si>
    <t>Y</t>
  </si>
  <si>
    <t>Despesas Financeiras</t>
  </si>
  <si>
    <t>Z</t>
  </si>
  <si>
    <t>Lucro</t>
  </si>
  <si>
    <t>Tributos (totais)</t>
  </si>
  <si>
    <t>COFINS</t>
  </si>
  <si>
    <t>PIS</t>
  </si>
  <si>
    <t>ISS</t>
  </si>
  <si>
    <t xml:space="preserve"> % DE BDI A SER UTILIZADO =</t>
  </si>
  <si>
    <t>LEGENDA</t>
  </si>
  <si>
    <t>FÓRMULA PARA CÁLCULO DO BDI</t>
  </si>
  <si>
    <t>X =</t>
  </si>
  <si>
    <t>Despesas indiretas (exceto tributos e despesas financeiras)</t>
  </si>
  <si>
    <t>Y =</t>
  </si>
  <si>
    <t>Despesas financeiras</t>
  </si>
  <si>
    <t>Z =</t>
  </si>
  <si>
    <t>I =</t>
  </si>
  <si>
    <t>Taxa representativa da incidência de impostos</t>
  </si>
  <si>
    <t>BDI=</t>
  </si>
  <si>
    <t>(1+X)     x</t>
  </si>
  <si>
    <t>(1+Y)    x</t>
  </si>
  <si>
    <t>(1+Z)</t>
  </si>
  <si>
    <t>-1</t>
  </si>
  <si>
    <t>(1 - I)</t>
  </si>
  <si>
    <t>- 1</t>
  </si>
  <si>
    <r>
      <rPr>
        <b/>
        <i/>
        <sz val="12"/>
        <color rgb="FF000000"/>
        <rFont val="Arial"/>
        <charset val="134"/>
      </rPr>
      <t xml:space="preserve">Obs: Os valores máximos e mínimos foram adotados conforme orientação do </t>
    </r>
    <r>
      <rPr>
        <b/>
        <i/>
        <sz val="12"/>
        <color rgb="FF0000FF"/>
        <rFont val="Arial"/>
        <charset val="134"/>
      </rPr>
      <t>ACÓRDÃO 2622/2013 – TCU – Plenário</t>
    </r>
    <r>
      <rPr>
        <b/>
        <i/>
        <sz val="12"/>
        <color rgb="FF000000"/>
        <rFont val="Arial"/>
        <charset val="134"/>
      </rPr>
      <t>.</t>
    </r>
  </si>
  <si>
    <t xml:space="preserve">     *Fórmula orientada pelo Tribunal de Contas da União para o cálculo final do BDI</t>
  </si>
  <si>
    <t xml:space="preserve">     **Caso a empresa seja optante pelo Simples Nacional colocar os encargos conforme seu cadastramento no sistema e comprovar essa faixa utilizada para a Administração</t>
  </si>
  <si>
    <t>ANEXO PB IX.B – CALCULO BDI DIFERENCIADO</t>
  </si>
  <si>
    <t>COMPOSIÇÃO ANALÍTICA DO BDI DIFERENCIADO - Equipamentos</t>
  </si>
  <si>
    <t>ANEXO PB IX.C - COMPOSIÇÃO DE LEIS SOCIAIS</t>
  </si>
  <si>
    <t>HORISTA  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</si>
  <si>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</si>
  <si>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</si>
  <si>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</si>
  <si>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</si>
  <si>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</si>
  <si>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</si>
  <si>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</si>
  <si>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</si>
  <si>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</si>
  <si>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</si>
  <si>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</si>
  <si>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</si>
  <si>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</si>
  <si>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</si>
  <si>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</si>
  <si>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</si>
  <si>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</si>
  <si>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</si>
  <si>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</si>
  <si>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</si>
  <si>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</si>
  <si>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</si>
  <si>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</si>
  <si>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</si>
  <si>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</si>
  <si>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</si>
  <si>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</si>
  <si>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</si>
  <si>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</si>
  <si>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</si>
  <si>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</si>
  <si>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</si>
  <si>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</si>
  <si>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</si>
  <si>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</si>
  <si>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</si>
  <si>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</si>
  <si>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</si>
  <si>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</si>
  <si>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</si>
  <si>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</si>
  <si>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</si>
  <si>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</si>
  <si>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</si>
  <si>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</si>
  <si>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</si>
  <si>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</si>
  <si>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</si>
  <si>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</si>
  <si>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</si>
  <si>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</si>
  <si>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</si>
  <si>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</si>
  <si>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</si>
  <si>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</si>
  <si>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</si>
  <si>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</si>
  <si>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</si>
  <si>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</si>
  <si>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de FGTS sobre Aviso Prévio Indenizado</t>
  </si>
  <si>
    <t>D</t>
  </si>
  <si>
    <t>TOTAL (A+B+C+D) - %</t>
  </si>
  <si>
    <t>Obs: **Caso a empresa seja optante pelo Simples Nacional colocar os encargos conforme seu cadastramento no sistema e comprovar essa faixa utilizada para 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</si>
</sst>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0.0000"/>
    <numFmt numFmtId="167" formatCode="&quot;(1 + &quot;#,##0.00000&quot;)&quot;"/>
    <numFmt numFmtId="168" formatCode="#,##0.000"/>
    <numFmt numFmtId="169" formatCode="#,##0.00&quot; &quot;;&quot; (&quot;#,##0.00&quot;)&quot;;&quot;-&quot;#&quot; &quot;;@&quot; &quot;"/>
    <numFmt numFmtId="170" formatCode="&quot;(1 - &quot;#,##0.00000&quot;)&quot;"/>
    <numFmt numFmtId="171" formatCode="&quot;R$&quot;#,##0.00"/>
    <numFmt numFmtId="172" formatCode="#,##0.0000"/>
    <numFmt numFmtId="173" formatCode="&quot;( &quot;#,##0.00000&quot;) x&quot;"/>
    <numFmt numFmtId="174" formatCode="0.000%"/>
    <numFmt numFmtId="175" formatCode="&quot;(1 + &quot;#,##0.00000&quot;) x&quot;"/>
    <numFmt numFmtId="176" formatCode="&quot;( &quot;#,##0.00000&quot;)&quot;"/>
    <numFmt numFmtId="177" formatCode="0.00_ "/>
    <numFmt numFmtId="178" formatCode="#,##0.00000"/>
  </numFmts>
  <fonts count="60"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9"/>
      <color rgb="FF000000"/>
      <name val="Arial"/>
      <charset val="134"/>
    </font>
    <font>
      <b/>
      <sz val="9"/>
      <color theme="1"/>
      <name val="Arial"/>
      <charset val="134"/>
    </font>
    <font>
      <sz val="11"/>
      <color theme="1"/>
      <name val="Arial"/>
      <charset val="134"/>
    </font>
    <font>
      <b/>
      <sz val="13"/>
      <color rgb="FF000000"/>
      <name val="Arial"/>
      <charset val="134"/>
    </font>
    <font>
      <sz val="11"/>
      <color rgb="FF000000"/>
      <name val="Arial"/>
      <charset val="134"/>
    </font>
    <font>
      <b/>
      <sz val="12"/>
      <color rgb="FF000000"/>
      <name val="Arial"/>
      <charset val="134"/>
    </font>
    <font>
      <b/>
      <sz val="12"/>
      <color rgb="FFFFFFFF"/>
      <name val="Arial"/>
      <charset val="134"/>
    </font>
    <font>
      <sz val="12"/>
      <color rgb="FF000000"/>
      <name val="Arial"/>
      <charset val="134"/>
    </font>
    <font>
      <b/>
      <i/>
      <sz val="12"/>
      <color rgb="FF000000"/>
      <name val="Arial"/>
      <charset val="134"/>
    </font>
    <font>
      <sz val="11"/>
      <color rgb="FF800000"/>
      <name val="Arial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Calibri"/>
      <charset val="134"/>
      <scheme val="minor"/>
    </font>
    <font>
      <sz val="9"/>
      <name val="Arial"/>
      <charset val="134"/>
    </font>
    <font>
      <b/>
      <sz val="12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9"/>
      <name val="Arial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b/>
      <sz val="10"/>
      <name val="Times New Roman"/>
      <charset val="134"/>
    </font>
    <font>
      <sz val="12"/>
      <color theme="1"/>
      <name val="Arial"/>
      <charset val="134"/>
    </font>
    <font>
      <b/>
      <sz val="8"/>
      <color theme="1"/>
      <name val="Arial"/>
      <charset val="134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color rgb="FF000000"/>
      <name val="Arial"/>
      <charset val="134"/>
    </font>
    <font>
      <b/>
      <sz val="8"/>
      <color rgb="FF000000"/>
      <name val="Arial"/>
      <charset val="134"/>
    </font>
    <font>
      <sz val="8"/>
      <name val="Arial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sz val="8"/>
      <color rgb="FFFF0000"/>
      <name val="Arial"/>
      <charset val="134"/>
    </font>
    <font>
      <sz val="8"/>
      <color theme="1"/>
      <name val="Calibri"/>
      <charset val="134"/>
      <scheme val="minor"/>
    </font>
    <font>
      <sz val="10"/>
      <name val="Arial"/>
      <charset val="134"/>
    </font>
    <font>
      <sz val="11"/>
      <color rgb="FF800000"/>
      <name val="Calibri1"/>
      <charset val="134"/>
    </font>
    <font>
      <sz val="11"/>
      <color rgb="FF000000"/>
      <name val="Arial1"/>
      <charset val="134"/>
    </font>
    <font>
      <sz val="11"/>
      <color rgb="FF000000"/>
      <name val="Calibri"/>
      <charset val="134"/>
    </font>
    <font>
      <sz val="10"/>
      <color rgb="FF000000"/>
      <name val="Arial1"/>
      <charset val="134"/>
    </font>
    <font>
      <b/>
      <i/>
      <sz val="12"/>
      <color rgb="FF0000FF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2"/>
      <color theme="1"/>
      <name val="Calibri"/>
      <charset val="134"/>
      <scheme val="minor"/>
    </font>
    <font>
      <sz val="9"/>
      <color rgb="FF000000"/>
      <name val="Arial"/>
      <charset val="134"/>
    </font>
    <font>
      <b/>
      <sz val="8"/>
      <name val="Arial"/>
      <charset val="134"/>
    </font>
    <font>
      <sz val="10"/>
      <color theme="1"/>
      <name val="Calibri"/>
      <charset val="134"/>
      <scheme val="minor"/>
    </font>
    <font>
      <sz val="8"/>
      <name val="Arial"/>
      <charset val="134"/>
    </font>
    <font>
      <sz val="9"/>
      <color theme="1"/>
      <name val="Calibri"/>
      <charset val="134"/>
      <scheme val="minor"/>
    </font>
    <font>
      <sz val="8"/>
      <name val="Times New Roman"/>
      <charset val="134"/>
    </font>
    <font>
      <sz val="9"/>
      <name val="Arial"/>
      <charset val="134"/>
    </font>
    <font>
      <sz val="8"/>
      <color rgb="FFFF0000"/>
      <name val="Arial"/>
      <charset val="134"/>
    </font>
    <font>
      <sz val="8"/>
      <color theme="1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 tint="-0.1498458815271462"/>
        <bgColor indexed="64"/>
      </patternFill>
    </fill>
    <fill>
      <patternFill patternType="solid">
        <fgColor rgb="FFDDDDDD"/>
        <bgColor rgb="FFDDDDDD"/>
      </patternFill>
    </fill>
    <fill>
      <patternFill patternType="solid">
        <fgColor rgb="FFEEEEEE"/>
        <bgColor rgb="FFEEEEEE"/>
      </patternFill>
    </fill>
    <fill>
      <patternFill patternType="solid">
        <fgColor rgb="FF333399"/>
        <bgColor rgb="FF333399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876400036622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43" fontId="46" fillId="0" borderId="0" applyFont="0" applyFill="0" applyBorder="0" applyAlignment="0" applyProtection="0"/>
    <xf numFmtId="164" fontId="40" fillId="0" borderId="0" applyFont="0" applyFill="0" applyBorder="0" applyAlignment="0" applyProtection="0"/>
    <xf numFmtId="9" fontId="46" fillId="0" borderId="0" applyFont="0" applyFill="0" applyBorder="0" applyAlignment="0" applyProtection="0"/>
    <xf numFmtId="169" fontId="44" fillId="0" borderId="0"/>
    <xf numFmtId="0" fontId="19" fillId="0" borderId="0" applyNumberFormat="0" applyBorder="0" applyProtection="0"/>
    <xf numFmtId="0" fontId="23" fillId="0" borderId="0" applyNumberFormat="0" applyBorder="0" applyProtection="0"/>
    <xf numFmtId="0" fontId="19" fillId="0" borderId="0" applyNumberFormat="0" applyBorder="0" applyProtection="0"/>
    <xf numFmtId="0" fontId="46" fillId="0" borderId="0">
      <alignment vertical="center"/>
    </xf>
    <xf numFmtId="0" fontId="42" fillId="0" borderId="0"/>
    <xf numFmtId="0" fontId="41" fillId="0" borderId="0" applyNumberFormat="0" applyBorder="0" applyProtection="0"/>
    <xf numFmtId="0" fontId="43" fillId="0" borderId="0"/>
  </cellStyleXfs>
  <cellXfs count="527">
    <xf numFmtId="0" fontId="0" fillId="0" borderId="0" xfId="0"/>
    <xf numFmtId="0" fontId="1" fillId="0" borderId="0" xfId="0" applyFont="1"/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0" fontId="1" fillId="0" borderId="1" xfId="8" applyFont="1" applyBorder="1" applyAlignment="1">
      <alignment horizontal="center" vertical="center"/>
    </xf>
    <xf numFmtId="0" fontId="1" fillId="0" borderId="1" xfId="8" applyFont="1" applyBorder="1" applyAlignment="1">
      <alignment horizontal="left" vertical="center" wrapText="1"/>
    </xf>
    <xf numFmtId="164" fontId="1" fillId="0" borderId="1" xfId="2" applyFont="1" applyBorder="1" applyAlignment="1">
      <alignment horizontal="left" vertical="center"/>
    </xf>
    <xf numFmtId="0" fontId="3" fillId="0" borderId="1" xfId="8" applyFont="1" applyBorder="1" applyAlignment="1">
      <alignment horizontal="left" vertical="center" wrapText="1"/>
    </xf>
    <xf numFmtId="164" fontId="3" fillId="0" borderId="1" xfId="2" applyFont="1" applyBorder="1" applyAlignment="1">
      <alignment horizontal="left" vertical="center"/>
    </xf>
    <xf numFmtId="0" fontId="3" fillId="0" borderId="1" xfId="8" applyFont="1" applyBorder="1" applyAlignment="1">
      <alignment horizontal="left" vertical="top" wrapText="1"/>
    </xf>
    <xf numFmtId="0" fontId="4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0" xfId="7" applyFont="1" applyFill="1" applyAlignment="1" applyProtection="1">
      <alignment horizontal="left"/>
    </xf>
    <xf numFmtId="0" fontId="6" fillId="0" borderId="0" xfId="6" applyFont="1" applyFill="1" applyAlignment="1" applyProtection="1">
      <alignment vertical="center" wrapText="1"/>
    </xf>
    <xf numFmtId="0" fontId="7" fillId="0" borderId="0" xfId="7" applyFont="1" applyFill="1" applyAlignment="1" applyProtection="1">
      <alignment horizontal="left"/>
    </xf>
    <xf numFmtId="0" fontId="7" fillId="0" borderId="0" xfId="6" applyFont="1" applyFill="1" applyAlignment="1" applyProtection="1">
      <alignment vertical="center" wrapText="1"/>
    </xf>
    <xf numFmtId="0" fontId="9" fillId="0" borderId="0" xfId="5" applyFont="1" applyFill="1" applyAlignment="1" applyProtection="1">
      <alignment horizontal="center"/>
    </xf>
    <xf numFmtId="0" fontId="9" fillId="0" borderId="0" xfId="5" applyFont="1" applyFill="1" applyAlignment="1" applyProtection="1"/>
    <xf numFmtId="0" fontId="7" fillId="0" borderId="8" xfId="5" applyFont="1" applyFill="1" applyBorder="1" applyAlignment="1" applyProtection="1">
      <alignment horizontal="center"/>
    </xf>
    <xf numFmtId="10" fontId="9" fillId="0" borderId="8" xfId="5" applyNumberFormat="1" applyFont="1" applyFill="1" applyBorder="1" applyAlignment="1" applyProtection="1">
      <alignment horizontal="center"/>
    </xf>
    <xf numFmtId="10" fontId="7" fillId="0" borderId="8" xfId="5" applyNumberFormat="1" applyFont="1" applyFill="1" applyBorder="1" applyAlignment="1" applyProtection="1">
      <alignment horizontal="center"/>
    </xf>
    <xf numFmtId="174" fontId="9" fillId="0" borderId="8" xfId="5" applyNumberFormat="1" applyFont="1" applyFill="1" applyBorder="1" applyAlignment="1" applyProtection="1">
      <alignment horizontal="center"/>
    </xf>
    <xf numFmtId="174" fontId="7" fillId="0" borderId="8" xfId="5" applyNumberFormat="1" applyFont="1" applyFill="1" applyBorder="1" applyAlignment="1" applyProtection="1">
      <alignment horizontal="center"/>
    </xf>
    <xf numFmtId="0" fontId="9" fillId="0" borderId="8" xfId="5" applyFont="1" applyFill="1" applyBorder="1" applyAlignment="1" applyProtection="1">
      <alignment horizontal="right" vertical="top"/>
    </xf>
    <xf numFmtId="0" fontId="9" fillId="0" borderId="8" xfId="5" applyFont="1" applyFill="1" applyBorder="1" applyAlignment="1" applyProtection="1">
      <alignment horizontal="right"/>
    </xf>
    <xf numFmtId="0" fontId="9" fillId="0" borderId="6" xfId="5" applyFont="1" applyFill="1" applyBorder="1" applyAlignment="1" applyProtection="1">
      <alignment horizontal="center"/>
    </xf>
    <xf numFmtId="0" fontId="9" fillId="0" borderId="12" xfId="5" applyFont="1" applyFill="1" applyBorder="1" applyAlignment="1" applyProtection="1">
      <alignment horizontal="center"/>
    </xf>
    <xf numFmtId="175" fontId="6" fillId="0" borderId="6" xfId="5" applyNumberFormat="1" applyFont="1" applyFill="1" applyBorder="1" applyAlignment="1" applyProtection="1">
      <alignment horizontal="center"/>
    </xf>
    <xf numFmtId="167" fontId="6" fillId="0" borderId="6" xfId="5" applyNumberFormat="1" applyFont="1" applyFill="1" applyBorder="1" applyAlignment="1" applyProtection="1">
      <alignment horizontal="center"/>
    </xf>
    <xf numFmtId="170" fontId="9" fillId="0" borderId="12" xfId="5" applyNumberFormat="1" applyFont="1" applyFill="1" applyBorder="1" applyAlignment="1" applyProtection="1">
      <alignment horizontal="center"/>
    </xf>
    <xf numFmtId="173" fontId="9" fillId="0" borderId="6" xfId="5" applyNumberFormat="1" applyFont="1" applyFill="1" applyBorder="1" applyAlignment="1" applyProtection="1">
      <alignment horizontal="center"/>
    </xf>
    <xf numFmtId="176" fontId="9" fillId="0" borderId="6" xfId="5" applyNumberFormat="1" applyFont="1" applyFill="1" applyBorder="1" applyAlignment="1" applyProtection="1">
      <alignment horizontal="center"/>
    </xf>
    <xf numFmtId="176" fontId="9" fillId="0" borderId="12" xfId="5" applyNumberFormat="1" applyFont="1" applyFill="1" applyBorder="1" applyAlignment="1" applyProtection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11" fillId="0" borderId="0" xfId="10" applyFont="1" applyFill="1" applyAlignment="1" applyProtection="1">
      <alignment vertical="center" wrapText="1"/>
    </xf>
    <xf numFmtId="178" fontId="9" fillId="0" borderId="7" xfId="5" applyNumberFormat="1" applyFont="1" applyFill="1" applyBorder="1" applyAlignment="1" applyProtection="1">
      <alignment horizontal="center"/>
    </xf>
    <xf numFmtId="174" fontId="7" fillId="0" borderId="7" xfId="5" applyNumberFormat="1" applyFont="1" applyFill="1" applyBorder="1" applyAlignment="1" applyProtection="1">
      <alignment horizontal="center"/>
    </xf>
    <xf numFmtId="10" fontId="7" fillId="0" borderId="8" xfId="5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vertical="center" wrapText="1"/>
    </xf>
    <xf numFmtId="0" fontId="13" fillId="7" borderId="16" xfId="0" applyFont="1" applyFill="1" applyBorder="1" applyAlignment="1">
      <alignment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/>
    </xf>
    <xf numFmtId="49" fontId="12" fillId="6" borderId="2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 wrapText="1"/>
    </xf>
    <xf numFmtId="2" fontId="12" fillId="6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9" fontId="12" fillId="10" borderId="21" xfId="0" applyNumberFormat="1" applyFont="1" applyFill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2" fontId="12" fillId="10" borderId="1" xfId="0" applyNumberFormat="1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49" fontId="12" fillId="10" borderId="1" xfId="0" applyNumberFormat="1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43" fontId="15" fillId="0" borderId="0" xfId="1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vertical="center" wrapText="1"/>
    </xf>
    <xf numFmtId="177" fontId="12" fillId="0" borderId="1" xfId="0" applyNumberFormat="1" applyFont="1" applyFill="1" applyBorder="1" applyAlignment="1">
      <alignment vertical="center" wrapText="1"/>
    </xf>
    <xf numFmtId="177" fontId="15" fillId="0" borderId="1" xfId="0" applyNumberFormat="1" applyFont="1" applyFill="1" applyBorder="1" applyAlignment="1">
      <alignment horizontal="right" vertical="center" wrapText="1"/>
    </xf>
    <xf numFmtId="177" fontId="12" fillId="0" borderId="0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0" fontId="15" fillId="0" borderId="0" xfId="0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right" vertical="center" wrapText="1"/>
    </xf>
    <xf numFmtId="2" fontId="12" fillId="10" borderId="0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16" fillId="0" borderId="0" xfId="0" applyFont="1"/>
    <xf numFmtId="49" fontId="12" fillId="6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19" fillId="0" borderId="0" xfId="0" applyNumberFormat="1" applyFont="1" applyBorder="1" applyAlignment="1">
      <alignment horizontal="right" vertical="center" wrapText="1"/>
    </xf>
    <xf numFmtId="2" fontId="19" fillId="11" borderId="0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right"/>
    </xf>
    <xf numFmtId="49" fontId="17" fillId="2" borderId="9" xfId="0" applyNumberFormat="1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center" vertical="center" wrapText="1"/>
    </xf>
    <xf numFmtId="172" fontId="17" fillId="11" borderId="1" xfId="0" applyNumberFormat="1" applyFont="1" applyFill="1" applyBorder="1" applyAlignment="1">
      <alignment horizontal="center" vertical="center" wrapText="1"/>
    </xf>
    <xf numFmtId="2" fontId="17" fillId="11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9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4" fontId="20" fillId="2" borderId="7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7" fillId="11" borderId="0" xfId="0" applyFont="1" applyFill="1" applyAlignment="1">
      <alignment vertical="center"/>
    </xf>
    <xf numFmtId="0" fontId="21" fillId="12" borderId="9" xfId="0" applyNumberFormat="1" applyFont="1" applyFill="1" applyBorder="1" applyAlignment="1">
      <alignment horizontal="center" vertical="center" wrapText="1"/>
    </xf>
    <xf numFmtId="0" fontId="21" fillId="12" borderId="29" xfId="0" applyFont="1" applyFill="1" applyBorder="1" applyAlignment="1">
      <alignment horizontal="center" vertical="center" wrapText="1"/>
    </xf>
    <xf numFmtId="0" fontId="21" fillId="12" borderId="1" xfId="0" applyNumberFormat="1" applyFont="1" applyFill="1" applyBorder="1" applyAlignment="1">
      <alignment horizontal="center" vertical="center" wrapText="1"/>
    </xf>
    <xf numFmtId="4" fontId="21" fillId="12" borderId="32" xfId="0" applyNumberFormat="1" applyFont="1" applyFill="1" applyBorder="1" applyAlignment="1">
      <alignment horizontal="center" vertical="center" wrapText="1"/>
    </xf>
    <xf numFmtId="4" fontId="21" fillId="12" borderId="1" xfId="0" applyNumberFormat="1" applyFont="1" applyFill="1" applyBorder="1" applyAlignment="1">
      <alignment horizontal="center" vertical="center" wrapText="1"/>
    </xf>
    <xf numFmtId="0" fontId="22" fillId="0" borderId="2" xfId="11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2" fontId="24" fillId="0" borderId="1" xfId="0" applyNumberFormat="1" applyFont="1" applyFill="1" applyBorder="1" applyAlignment="1">
      <alignment vertical="center"/>
    </xf>
    <xf numFmtId="2" fontId="24" fillId="0" borderId="1" xfId="0" applyNumberFormat="1" applyFont="1" applyBorder="1" applyAlignment="1">
      <alignment vertical="center" wrapText="1"/>
    </xf>
    <xf numFmtId="0" fontId="22" fillId="13" borderId="2" xfId="1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/>
    </xf>
    <xf numFmtId="0" fontId="24" fillId="0" borderId="0" xfId="0" applyNumberFormat="1" applyFont="1"/>
    <xf numFmtId="0" fontId="24" fillId="0" borderId="0" xfId="0" applyFont="1"/>
    <xf numFmtId="4" fontId="25" fillId="12" borderId="33" xfId="0" applyNumberFormat="1" applyFont="1" applyFill="1" applyBorder="1" applyAlignment="1">
      <alignment horizontal="right" vertical="center" wrapText="1"/>
    </xf>
    <xf numFmtId="2" fontId="17" fillId="11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9" fontId="17" fillId="11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wrapText="1"/>
    </xf>
    <xf numFmtId="2" fontId="6" fillId="0" borderId="0" xfId="0" applyNumberFormat="1" applyFont="1" applyBorder="1" applyAlignment="1">
      <alignment horizontal="center" vertical="top"/>
    </xf>
    <xf numFmtId="4" fontId="17" fillId="11" borderId="1" xfId="0" applyNumberFormat="1" applyFont="1" applyFill="1" applyBorder="1" applyAlignment="1">
      <alignment horizontal="center" vertical="center" wrapText="1"/>
    </xf>
    <xf numFmtId="4" fontId="20" fillId="2" borderId="10" xfId="0" applyNumberFormat="1" applyFont="1" applyFill="1" applyBorder="1" applyAlignment="1">
      <alignment horizontal="right" vertical="center" wrapText="1"/>
    </xf>
    <xf numFmtId="0" fontId="17" fillId="11" borderId="1" xfId="0" applyNumberFormat="1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vertical="center" wrapText="1"/>
    </xf>
    <xf numFmtId="168" fontId="17" fillId="11" borderId="1" xfId="0" applyNumberFormat="1" applyFont="1" applyFill="1" applyBorder="1" applyAlignment="1">
      <alignment horizontal="center" vertical="center" wrapText="1"/>
    </xf>
    <xf numFmtId="4" fontId="17" fillId="11" borderId="1" xfId="0" applyNumberFormat="1" applyFont="1" applyFill="1" applyBorder="1" applyAlignment="1">
      <alignment horizontal="righ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68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center" wrapText="1"/>
    </xf>
    <xf numFmtId="4" fontId="17" fillId="14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10" fontId="0" fillId="0" borderId="1" xfId="3" applyNumberFormat="1" applyFont="1" applyFill="1" applyBorder="1" applyAlignment="1">
      <alignment horizontal="right" vertical="center" wrapText="1"/>
    </xf>
    <xf numFmtId="10" fontId="0" fillId="0" borderId="2" xfId="0" applyNumberFormat="1" applyFill="1" applyBorder="1" applyAlignment="1">
      <alignment horizontal="right" vertical="center" wrapText="1"/>
    </xf>
    <xf numFmtId="0" fontId="1" fillId="2" borderId="32" xfId="0" applyFont="1" applyFill="1" applyBorder="1" applyAlignment="1">
      <alignment horizontal="center" vertical="center" textRotation="90"/>
    </xf>
    <xf numFmtId="0" fontId="1" fillId="2" borderId="34" xfId="0" applyFont="1" applyFill="1" applyBorder="1" applyAlignment="1">
      <alignment horizontal="center" vertical="center" textRotation="90"/>
    </xf>
    <xf numFmtId="0" fontId="0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1" xfId="9" applyFont="1" applyBorder="1" applyAlignment="1">
      <alignment vertical="center"/>
    </xf>
    <xf numFmtId="0" fontId="32" fillId="0" borderId="1" xfId="9" applyFont="1" applyBorder="1" applyAlignment="1">
      <alignment horizontal="center" vertical="center"/>
    </xf>
    <xf numFmtId="2" fontId="32" fillId="0" borderId="1" xfId="9" applyNumberFormat="1" applyFont="1" applyBorder="1" applyAlignment="1">
      <alignment horizontal="center" vertical="center"/>
    </xf>
    <xf numFmtId="0" fontId="33" fillId="0" borderId="1" xfId="9" applyFont="1" applyBorder="1" applyAlignment="1">
      <alignment vertical="center" wrapText="1"/>
    </xf>
    <xf numFmtId="2" fontId="33" fillId="0" borderId="1" xfId="9" applyNumberFormat="1" applyFont="1" applyBorder="1" applyAlignment="1">
      <alignment vertical="center" wrapText="1"/>
    </xf>
    <xf numFmtId="0" fontId="33" fillId="0" borderId="0" xfId="9" applyFont="1" applyBorder="1" applyAlignment="1">
      <alignment horizontal="left" vertical="center"/>
    </xf>
    <xf numFmtId="0" fontId="34" fillId="0" borderId="1" xfId="9" applyFont="1" applyBorder="1" applyAlignment="1">
      <alignment vertical="center" wrapText="1"/>
    </xf>
    <xf numFmtId="2" fontId="33" fillId="0" borderId="1" xfId="9" applyNumberFormat="1" applyFont="1" applyFill="1" applyBorder="1" applyAlignment="1">
      <alignment vertical="center" wrapText="1"/>
    </xf>
    <xf numFmtId="2" fontId="32" fillId="2" borderId="4" xfId="9" applyNumberFormat="1" applyFont="1" applyFill="1" applyBorder="1" applyAlignment="1">
      <alignment vertical="center" wrapText="1"/>
    </xf>
    <xf numFmtId="2" fontId="34" fillId="0" borderId="1" xfId="9" applyNumberFormat="1" applyFont="1" applyBorder="1" applyAlignment="1">
      <alignment horizontal="center" vertical="center" wrapText="1"/>
    </xf>
    <xf numFmtId="0" fontId="32" fillId="0" borderId="3" xfId="9" applyFont="1" applyFill="1" applyBorder="1" applyAlignment="1">
      <alignment horizontal="center" vertical="center" wrapText="1"/>
    </xf>
    <xf numFmtId="0" fontId="33" fillId="0" borderId="32" xfId="9" applyFont="1" applyBorder="1" applyAlignment="1">
      <alignment vertical="center" wrapText="1"/>
    </xf>
    <xf numFmtId="2" fontId="35" fillId="0" borderId="1" xfId="0" applyNumberFormat="1" applyFont="1" applyBorder="1" applyAlignment="1">
      <alignment horizontal="right" vertical="center" wrapText="1"/>
    </xf>
    <xf numFmtId="0" fontId="28" fillId="0" borderId="14" xfId="0" applyFont="1" applyBorder="1" applyAlignment="1">
      <alignment vertical="center"/>
    </xf>
    <xf numFmtId="0" fontId="33" fillId="0" borderId="3" xfId="9" applyFont="1" applyBorder="1" applyAlignment="1">
      <alignment vertical="center" wrapText="1"/>
    </xf>
    <xf numFmtId="0" fontId="0" fillId="14" borderId="0" xfId="0" applyFont="1" applyFill="1" applyAlignment="1">
      <alignment vertical="center"/>
    </xf>
    <xf numFmtId="166" fontId="33" fillId="0" borderId="1" xfId="9" applyNumberFormat="1" applyFont="1" applyBorder="1" applyAlignment="1">
      <alignment vertical="center" wrapText="1"/>
    </xf>
    <xf numFmtId="0" fontId="36" fillId="0" borderId="1" xfId="9" applyFont="1" applyBorder="1" applyAlignment="1">
      <alignment vertical="center"/>
    </xf>
    <xf numFmtId="0" fontId="36" fillId="0" borderId="1" xfId="9" applyFont="1" applyBorder="1" applyAlignment="1">
      <alignment horizontal="center" vertical="center"/>
    </xf>
    <xf numFmtId="0" fontId="36" fillId="0" borderId="1" xfId="9" applyFont="1" applyBorder="1" applyAlignment="1">
      <alignment horizontal="right" vertical="center"/>
    </xf>
    <xf numFmtId="0" fontId="37" fillId="0" borderId="1" xfId="9" applyFont="1" applyFill="1" applyBorder="1" applyAlignment="1">
      <alignment vertical="center"/>
    </xf>
    <xf numFmtId="0" fontId="37" fillId="0" borderId="1" xfId="9" applyFont="1" applyFill="1" applyBorder="1" applyAlignment="1">
      <alignment horizontal="center" vertical="center"/>
    </xf>
    <xf numFmtId="0" fontId="37" fillId="0" borderId="1" xfId="9" applyFont="1" applyFill="1" applyBorder="1" applyAlignment="1">
      <alignment horizontal="right" vertical="center"/>
    </xf>
    <xf numFmtId="0" fontId="37" fillId="0" borderId="1" xfId="9" applyFont="1" applyFill="1" applyBorder="1" applyAlignment="1">
      <alignment horizontal="left" vertical="center"/>
    </xf>
    <xf numFmtId="0" fontId="35" fillId="0" borderId="1" xfId="9" applyFont="1" applyFill="1" applyBorder="1" applyAlignment="1">
      <alignment horizontal="left" vertical="center" wrapText="1"/>
    </xf>
    <xf numFmtId="0" fontId="35" fillId="0" borderId="1" xfId="9" applyFont="1" applyFill="1" applyBorder="1" applyAlignment="1">
      <alignment horizontal="center" vertical="center" wrapText="1"/>
    </xf>
    <xf numFmtId="2" fontId="33" fillId="0" borderId="1" xfId="9" applyNumberFormat="1" applyFont="1" applyBorder="1" applyAlignment="1">
      <alignment horizontal="center" vertical="center" wrapText="1"/>
    </xf>
    <xf numFmtId="2" fontId="32" fillId="0" borderId="3" xfId="9" applyNumberFormat="1" applyFont="1" applyFill="1" applyBorder="1" applyAlignment="1">
      <alignment vertical="center" wrapText="1"/>
    </xf>
    <xf numFmtId="0" fontId="32" fillId="0" borderId="1" xfId="9" applyFont="1" applyFill="1" applyBorder="1" applyAlignment="1">
      <alignment horizontal="center" vertical="center" wrapText="1"/>
    </xf>
    <xf numFmtId="0" fontId="32" fillId="0" borderId="1" xfId="9" applyFont="1" applyBorder="1" applyAlignment="1">
      <alignment vertical="center" wrapText="1"/>
    </xf>
    <xf numFmtId="0" fontId="32" fillId="0" borderId="1" xfId="9" applyFont="1" applyBorder="1" applyAlignment="1">
      <alignment horizontal="center" vertical="center" wrapText="1"/>
    </xf>
    <xf numFmtId="2" fontId="32" fillId="0" borderId="1" xfId="9" applyNumberFormat="1" applyFont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2" fontId="35" fillId="0" borderId="32" xfId="9" applyNumberFormat="1" applyFont="1" applyBorder="1" applyAlignment="1">
      <alignment horizontal="center" vertical="center"/>
    </xf>
    <xf numFmtId="2" fontId="35" fillId="0" borderId="1" xfId="9" applyNumberFormat="1" applyFont="1" applyBorder="1" applyAlignment="1">
      <alignment horizontal="center" vertical="center" wrapText="1"/>
    </xf>
    <xf numFmtId="2" fontId="35" fillId="0" borderId="1" xfId="9" applyNumberFormat="1" applyFont="1" applyBorder="1" applyAlignment="1">
      <alignment horizontal="center" vertical="center"/>
    </xf>
    <xf numFmtId="4" fontId="35" fillId="0" borderId="1" xfId="9" applyNumberFormat="1" applyFont="1" applyBorder="1" applyAlignment="1">
      <alignment horizontal="right" vertical="center"/>
    </xf>
    <xf numFmtId="4" fontId="35" fillId="0" borderId="1" xfId="9" applyNumberFormat="1" applyFont="1" applyFill="1" applyBorder="1" applyAlignment="1">
      <alignment horizontal="right" vertical="center"/>
    </xf>
    <xf numFmtId="2" fontId="35" fillId="0" borderId="1" xfId="9" applyNumberFormat="1" applyFont="1" applyFill="1" applyBorder="1" applyAlignment="1">
      <alignment horizontal="center" vertical="center"/>
    </xf>
    <xf numFmtId="0" fontId="38" fillId="0" borderId="34" xfId="9" applyFont="1" applyBorder="1" applyAlignment="1">
      <alignment horizontal="center" vertical="center" wrapText="1"/>
    </xf>
    <xf numFmtId="2" fontId="38" fillId="0" borderId="34" xfId="9" applyNumberFormat="1" applyFont="1" applyBorder="1" applyAlignment="1">
      <alignment horizontal="center" vertical="center"/>
    </xf>
    <xf numFmtId="2" fontId="38" fillId="0" borderId="34" xfId="9" applyNumberFormat="1" applyFont="1" applyBorder="1" applyAlignment="1">
      <alignment horizontal="center" vertical="center" wrapText="1"/>
    </xf>
    <xf numFmtId="0" fontId="35" fillId="0" borderId="34" xfId="9" applyFont="1" applyBorder="1" applyAlignment="1">
      <alignment horizontal="center" vertical="center" wrapText="1"/>
    </xf>
    <xf numFmtId="2" fontId="35" fillId="0" borderId="34" xfId="9" applyNumberFormat="1" applyFont="1" applyBorder="1" applyAlignment="1">
      <alignment horizontal="center" vertical="center"/>
    </xf>
    <xf numFmtId="2" fontId="35" fillId="0" borderId="34" xfId="9" applyNumberFormat="1" applyFont="1" applyBorder="1" applyAlignment="1">
      <alignment horizontal="center" vertical="center" wrapText="1"/>
    </xf>
    <xf numFmtId="2" fontId="35" fillId="0" borderId="34" xfId="9" applyNumberFormat="1" applyFont="1" applyBorder="1" applyAlignment="1">
      <alignment horizontal="right" vertical="center" wrapText="1"/>
    </xf>
    <xf numFmtId="2" fontId="35" fillId="0" borderId="34" xfId="9" applyNumberFormat="1" applyFont="1" applyBorder="1" applyAlignment="1">
      <alignment horizontal="left" vertical="center" wrapText="1"/>
    </xf>
    <xf numFmtId="0" fontId="33" fillId="0" borderId="0" xfId="9" applyFont="1" applyAlignment="1">
      <alignment vertical="center"/>
    </xf>
    <xf numFmtId="2" fontId="33" fillId="0" borderId="0" xfId="9" applyNumberFormat="1" applyFont="1" applyAlignment="1">
      <alignment vertical="center"/>
    </xf>
    <xf numFmtId="0" fontId="0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1" fillId="0" borderId="0" xfId="0" applyFont="1" applyAlignment="1">
      <alignment horizontal="left"/>
    </xf>
    <xf numFmtId="0" fontId="0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vertical="center" wrapText="1"/>
    </xf>
    <xf numFmtId="0" fontId="30" fillId="2" borderId="4" xfId="9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right" vertical="center"/>
    </xf>
    <xf numFmtId="10" fontId="31" fillId="0" borderId="1" xfId="3" applyNumberFormat="1" applyFont="1" applyBorder="1" applyAlignment="1">
      <alignment horizontal="right" vertical="center"/>
    </xf>
    <xf numFmtId="10" fontId="31" fillId="0" borderId="1" xfId="0" applyNumberFormat="1" applyFont="1" applyFill="1" applyBorder="1" applyAlignment="1">
      <alignment horizontal="right"/>
    </xf>
    <xf numFmtId="4" fontId="31" fillId="0" borderId="1" xfId="0" applyNumberFormat="1" applyFont="1" applyBorder="1" applyAlignment="1">
      <alignment horizontal="right"/>
    </xf>
    <xf numFmtId="4" fontId="31" fillId="0" borderId="1" xfId="0" applyNumberFormat="1" applyFont="1" applyFill="1" applyBorder="1" applyAlignment="1">
      <alignment horizontal="right"/>
    </xf>
    <xf numFmtId="4" fontId="31" fillId="0" borderId="0" xfId="0" applyNumberFormat="1" applyFont="1" applyAlignment="1">
      <alignment horizontal="left"/>
    </xf>
    <xf numFmtId="0" fontId="31" fillId="16" borderId="1" xfId="0" applyFont="1" applyFill="1" applyBorder="1" applyAlignment="1">
      <alignment horizontal="right"/>
    </xf>
    <xf numFmtId="0" fontId="31" fillId="0" borderId="1" xfId="0" applyFont="1" applyFill="1" applyBorder="1" applyAlignment="1">
      <alignment horizontal="right"/>
    </xf>
    <xf numFmtId="10" fontId="31" fillId="0" borderId="1" xfId="0" applyNumberFormat="1" applyFont="1" applyBorder="1" applyAlignment="1">
      <alignment horizontal="right" vertical="center"/>
    </xf>
    <xf numFmtId="10" fontId="31" fillId="0" borderId="1" xfId="0" applyNumberFormat="1" applyFont="1" applyFill="1" applyBorder="1" applyAlignment="1">
      <alignment horizontal="right" vertical="center"/>
    </xf>
    <xf numFmtId="0" fontId="31" fillId="16" borderId="1" xfId="0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/>
    </xf>
    <xf numFmtId="10" fontId="31" fillId="0" borderId="1" xfId="3" applyNumberFormat="1" applyFont="1" applyBorder="1" applyAlignment="1">
      <alignment horizontal="right" vertical="top"/>
    </xf>
    <xf numFmtId="10" fontId="31" fillId="0" borderId="1" xfId="0" applyNumberFormat="1" applyFont="1" applyFill="1" applyBorder="1" applyAlignment="1">
      <alignment horizontal="right" vertical="top"/>
    </xf>
    <xf numFmtId="0" fontId="31" fillId="0" borderId="0" xfId="0" applyFont="1" applyAlignment="1">
      <alignment horizontal="left" vertical="top"/>
    </xf>
    <xf numFmtId="0" fontId="0" fillId="0" borderId="0" xfId="0" applyFont="1" applyBorder="1" applyAlignment="1">
      <alignment vertical="top"/>
    </xf>
    <xf numFmtId="4" fontId="31" fillId="0" borderId="1" xfId="0" applyNumberFormat="1" applyFont="1" applyBorder="1" applyAlignment="1">
      <alignment horizontal="right" vertical="top"/>
    </xf>
    <xf numFmtId="4" fontId="31" fillId="0" borderId="1" xfId="0" applyNumberFormat="1" applyFont="1" applyFill="1" applyBorder="1" applyAlignment="1">
      <alignment horizontal="right" vertical="top"/>
    </xf>
    <xf numFmtId="0" fontId="31" fillId="16" borderId="1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center" vertical="top"/>
    </xf>
    <xf numFmtId="0" fontId="0" fillId="0" borderId="0" xfId="0" applyFont="1" applyBorder="1"/>
    <xf numFmtId="10" fontId="31" fillId="0" borderId="1" xfId="3" applyNumberFormat="1" applyFont="1" applyFill="1" applyBorder="1" applyAlignment="1">
      <alignment horizontal="right" vertical="top"/>
    </xf>
    <xf numFmtId="10" fontId="31" fillId="0" borderId="1" xfId="0" applyNumberFormat="1" applyFont="1" applyBorder="1" applyAlignment="1">
      <alignment horizontal="right" vertical="top"/>
    </xf>
    <xf numFmtId="10" fontId="31" fillId="0" borderId="1" xfId="0" applyNumberFormat="1" applyFont="1" applyBorder="1" applyAlignment="1">
      <alignment horizontal="center" vertical="center"/>
    </xf>
    <xf numFmtId="4" fontId="31" fillId="0" borderId="1" xfId="0" applyNumberFormat="1" applyFont="1" applyBorder="1"/>
    <xf numFmtId="4" fontId="31" fillId="0" borderId="0" xfId="0" applyNumberFormat="1" applyFont="1" applyFill="1"/>
    <xf numFmtId="0" fontId="31" fillId="0" borderId="0" xfId="0" applyFont="1" applyFill="1" applyAlignment="1">
      <alignment horizontal="right" vertic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Alignment="1">
      <alignment horizontal="right" vertical="center"/>
    </xf>
    <xf numFmtId="10" fontId="31" fillId="0" borderId="0" xfId="3" applyNumberFormat="1" applyFont="1" applyFill="1" applyBorder="1" applyAlignment="1">
      <alignment horizontal="right" vertical="center"/>
    </xf>
    <xf numFmtId="10" fontId="0" fillId="0" borderId="0" xfId="0" applyNumberFormat="1" applyFont="1" applyBorder="1"/>
    <xf numFmtId="2" fontId="39" fillId="0" borderId="0" xfId="0" applyNumberFormat="1" applyFont="1" applyBorder="1"/>
    <xf numFmtId="0" fontId="1" fillId="2" borderId="1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 wrapText="1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47" fillId="0" borderId="0" xfId="0" applyFont="1" applyAlignment="1">
      <alignment vertical="top"/>
    </xf>
    <xf numFmtId="10" fontId="47" fillId="0" borderId="0" xfId="3" applyNumberFormat="1" applyFont="1"/>
    <xf numFmtId="10" fontId="47" fillId="0" borderId="0" xfId="0" applyNumberFormat="1" applyFont="1"/>
    <xf numFmtId="10" fontId="47" fillId="0" borderId="0" xfId="0" applyNumberFormat="1" applyFont="1" applyAlignment="1">
      <alignment textRotation="255"/>
    </xf>
    <xf numFmtId="0" fontId="47" fillId="0" borderId="0" xfId="0" applyFont="1" applyAlignment="1">
      <alignment horizontal="center"/>
    </xf>
    <xf numFmtId="2" fontId="0" fillId="0" borderId="1" xfId="0" applyNumberFormat="1" applyBorder="1" applyAlignment="1">
      <alignment horizontal="right" vertical="center" wrapText="1"/>
    </xf>
    <xf numFmtId="10" fontId="47" fillId="7" borderId="1" xfId="0" applyNumberFormat="1" applyFont="1" applyFill="1" applyBorder="1" applyAlignment="1">
      <alignment horizontal="center" vertical="center" textRotation="255"/>
    </xf>
    <xf numFmtId="10" fontId="47" fillId="8" borderId="1" xfId="0" applyNumberFormat="1" applyFont="1" applyFill="1" applyBorder="1" applyAlignment="1">
      <alignment horizontal="center" vertical="center" textRotation="255"/>
    </xf>
    <xf numFmtId="10" fontId="47" fillId="15" borderId="1" xfId="0" applyNumberFormat="1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 wrapText="1"/>
    </xf>
    <xf numFmtId="0" fontId="27" fillId="2" borderId="34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2" fontId="27" fillId="2" borderId="32" xfId="0" applyNumberFormat="1" applyFont="1" applyFill="1" applyBorder="1" applyAlignment="1">
      <alignment horizontal="center" vertical="center"/>
    </xf>
    <xf numFmtId="2" fontId="27" fillId="2" borderId="34" xfId="0" applyNumberFormat="1" applyFont="1" applyFill="1" applyBorder="1" applyAlignment="1">
      <alignment horizontal="center" vertical="center"/>
    </xf>
    <xf numFmtId="2" fontId="27" fillId="2" borderId="2" xfId="0" applyNumberFormat="1" applyFont="1" applyFill="1" applyBorder="1" applyAlignment="1">
      <alignment horizontal="center" vertical="center"/>
    </xf>
    <xf numFmtId="2" fontId="27" fillId="2" borderId="4" xfId="0" applyNumberFormat="1" applyFont="1" applyFill="1" applyBorder="1" applyAlignment="1">
      <alignment horizontal="center" vertical="center"/>
    </xf>
    <xf numFmtId="2" fontId="27" fillId="2" borderId="32" xfId="0" applyNumberFormat="1" applyFont="1" applyFill="1" applyBorder="1" applyAlignment="1">
      <alignment horizontal="center" vertical="center" wrapText="1"/>
    </xf>
    <xf numFmtId="2" fontId="27" fillId="2" borderId="34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4" fontId="31" fillId="0" borderId="32" xfId="0" applyNumberFormat="1" applyFont="1" applyFill="1" applyBorder="1" applyAlignment="1">
      <alignment horizontal="right" vertical="center"/>
    </xf>
    <xf numFmtId="4" fontId="31" fillId="0" borderId="35" xfId="0" applyNumberFormat="1" applyFont="1" applyFill="1" applyBorder="1" applyAlignment="1">
      <alignment horizontal="right" vertical="center"/>
    </xf>
    <xf numFmtId="4" fontId="31" fillId="0" borderId="34" xfId="0" applyNumberFormat="1" applyFont="1" applyFill="1" applyBorder="1" applyAlignment="1">
      <alignment horizontal="right" vertical="center"/>
    </xf>
    <xf numFmtId="4" fontId="31" fillId="0" borderId="32" xfId="0" applyNumberFormat="1" applyFont="1" applyBorder="1" applyAlignment="1">
      <alignment horizontal="right" vertical="center"/>
    </xf>
    <xf numFmtId="4" fontId="31" fillId="0" borderId="35" xfId="0" applyNumberFormat="1" applyFont="1" applyBorder="1" applyAlignment="1">
      <alignment horizontal="right" vertical="center"/>
    </xf>
    <xf numFmtId="4" fontId="31" fillId="0" borderId="34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1" fillId="0" borderId="1" xfId="0" applyFont="1" applyBorder="1" applyAlignment="1">
      <alignment horizontal="right" vertical="center"/>
    </xf>
    <xf numFmtId="0" fontId="31" fillId="0" borderId="14" xfId="0" applyFont="1" applyBorder="1" applyAlignment="1">
      <alignment horizontal="left" vertical="center"/>
    </xf>
    <xf numFmtId="0" fontId="31" fillId="0" borderId="14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 wrapText="1"/>
    </xf>
    <xf numFmtId="0" fontId="30" fillId="2" borderId="2" xfId="9" applyFont="1" applyFill="1" applyBorder="1" applyAlignment="1">
      <alignment vertical="center" wrapText="1"/>
    </xf>
    <xf numFmtId="0" fontId="30" fillId="2" borderId="3" xfId="9" applyFont="1" applyFill="1" applyBorder="1" applyAlignment="1">
      <alignment vertical="center" wrapText="1"/>
    </xf>
    <xf numFmtId="0" fontId="30" fillId="2" borderId="4" xfId="9" applyFont="1" applyFill="1" applyBorder="1" applyAlignment="1">
      <alignment horizontal="right" vertical="center" wrapText="1"/>
    </xf>
    <xf numFmtId="0" fontId="31" fillId="0" borderId="1" xfId="0" applyFont="1" applyBorder="1" applyAlignment="1">
      <alignment horizontal="center" vertical="center"/>
    </xf>
    <xf numFmtId="0" fontId="32" fillId="2" borderId="2" xfId="9" applyFont="1" applyFill="1" applyBorder="1" applyAlignment="1">
      <alignment horizontal="left" vertical="center"/>
    </xf>
    <xf numFmtId="0" fontId="32" fillId="2" borderId="3" xfId="9" applyFont="1" applyFill="1" applyBorder="1" applyAlignment="1">
      <alignment horizontal="left" vertical="center"/>
    </xf>
    <xf numFmtId="0" fontId="32" fillId="2" borderId="4" xfId="9" applyFont="1" applyFill="1" applyBorder="1" applyAlignment="1">
      <alignment horizontal="left" vertical="center"/>
    </xf>
    <xf numFmtId="0" fontId="32" fillId="2" borderId="2" xfId="9" applyFont="1" applyFill="1" applyBorder="1" applyAlignment="1">
      <alignment horizontal="center" vertical="center" wrapText="1"/>
    </xf>
    <xf numFmtId="0" fontId="32" fillId="2" borderId="4" xfId="9" applyFont="1" applyFill="1" applyBorder="1" applyAlignment="1">
      <alignment horizontal="center" vertical="center" wrapText="1"/>
    </xf>
    <xf numFmtId="2" fontId="34" fillId="0" borderId="36" xfId="9" applyNumberFormat="1" applyFont="1" applyBorder="1" applyAlignment="1">
      <alignment horizontal="center" vertical="center" wrapText="1"/>
    </xf>
    <xf numFmtId="2" fontId="34" fillId="0" borderId="16" xfId="9" applyNumberFormat="1" applyFont="1" applyBorder="1" applyAlignment="1">
      <alignment horizontal="center" vertical="center" wrapText="1"/>
    </xf>
    <xf numFmtId="2" fontId="34" fillId="0" borderId="37" xfId="9" applyNumberFormat="1" applyFont="1" applyBorder="1" applyAlignment="1">
      <alignment horizontal="center" vertical="center" wrapText="1"/>
    </xf>
    <xf numFmtId="0" fontId="32" fillId="10" borderId="2" xfId="9" applyFont="1" applyFill="1" applyBorder="1" applyAlignment="1">
      <alignment horizontal="left" vertical="center"/>
    </xf>
    <xf numFmtId="0" fontId="32" fillId="10" borderId="3" xfId="9" applyFont="1" applyFill="1" applyBorder="1" applyAlignment="1">
      <alignment horizontal="left" vertical="center"/>
    </xf>
    <xf numFmtId="0" fontId="32" fillId="10" borderId="4" xfId="9" applyFont="1" applyFill="1" applyBorder="1" applyAlignment="1">
      <alignment horizontal="left" vertical="center"/>
    </xf>
    <xf numFmtId="0" fontId="32" fillId="0" borderId="2" xfId="9" applyFont="1" applyBorder="1" applyAlignment="1">
      <alignment horizontal="center" vertical="center"/>
    </xf>
    <xf numFmtId="0" fontId="32" fillId="0" borderId="4" xfId="9" applyFont="1" applyBorder="1" applyAlignment="1">
      <alignment horizontal="center" vertical="center"/>
    </xf>
    <xf numFmtId="0" fontId="33" fillId="0" borderId="2" xfId="9" applyFont="1" applyBorder="1" applyAlignment="1">
      <alignment horizontal="center" vertical="center" wrapText="1"/>
    </xf>
    <xf numFmtId="0" fontId="33" fillId="0" borderId="3" xfId="9" applyFont="1" applyBorder="1" applyAlignment="1">
      <alignment horizontal="center" vertical="center" wrapText="1"/>
    </xf>
    <xf numFmtId="0" fontId="33" fillId="0" borderId="4" xfId="9" applyFont="1" applyBorder="1" applyAlignment="1">
      <alignment horizontal="center" vertical="center" wrapText="1"/>
    </xf>
    <xf numFmtId="0" fontId="32" fillId="0" borderId="3" xfId="9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30" fillId="2" borderId="2" xfId="9" applyFont="1" applyFill="1" applyBorder="1" applyAlignment="1">
      <alignment horizontal="left" vertical="center" wrapText="1"/>
    </xf>
    <xf numFmtId="0" fontId="30" fillId="2" borderId="3" xfId="9" applyFont="1" applyFill="1" applyBorder="1" applyAlignment="1">
      <alignment horizontal="left" vertical="center" wrapText="1"/>
    </xf>
    <xf numFmtId="0" fontId="30" fillId="2" borderId="4" xfId="9" applyFont="1" applyFill="1" applyBorder="1" applyAlignment="1">
      <alignment horizontal="left" vertical="center" wrapText="1"/>
    </xf>
    <xf numFmtId="0" fontId="32" fillId="2" borderId="3" xfId="9" applyFont="1" applyFill="1" applyBorder="1" applyAlignment="1">
      <alignment horizontal="center" vertical="center" wrapText="1"/>
    </xf>
    <xf numFmtId="4" fontId="20" fillId="2" borderId="10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2" borderId="26" xfId="0" applyFont="1" applyFill="1" applyBorder="1" applyAlignment="1">
      <alignment horizontal="left" vertical="center" wrapText="1"/>
    </xf>
    <xf numFmtId="0" fontId="17" fillId="2" borderId="27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center" wrapText="1"/>
    </xf>
    <xf numFmtId="4" fontId="20" fillId="2" borderId="7" xfId="0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21" fillId="12" borderId="26" xfId="0" applyFont="1" applyFill="1" applyBorder="1" applyAlignment="1">
      <alignment horizontal="left" vertical="center" wrapText="1"/>
    </xf>
    <xf numFmtId="0" fontId="21" fillId="12" borderId="27" xfId="0" applyFont="1" applyFill="1" applyBorder="1" applyAlignment="1">
      <alignment horizontal="left" vertical="center" wrapText="1"/>
    </xf>
    <xf numFmtId="0" fontId="21" fillId="12" borderId="28" xfId="0" applyFont="1" applyFill="1" applyBorder="1" applyAlignment="1">
      <alignment horizontal="left" vertical="center" wrapText="1"/>
    </xf>
    <xf numFmtId="4" fontId="25" fillId="12" borderId="1" xfId="0" applyNumberFormat="1" applyFont="1" applyFill="1" applyBorder="1" applyAlignment="1">
      <alignment horizontal="center" vertical="center" wrapText="1"/>
    </xf>
    <xf numFmtId="4" fontId="20" fillId="2" borderId="30" xfId="0" applyNumberFormat="1" applyFont="1" applyFill="1" applyBorder="1" applyAlignment="1">
      <alignment horizontal="center" vertical="center" wrapText="1"/>
    </xf>
    <xf numFmtId="4" fontId="20" fillId="2" borderId="3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4" fillId="8" borderId="13" xfId="0" applyFont="1" applyFill="1" applyBorder="1" applyAlignment="1">
      <alignment horizontal="left"/>
    </xf>
    <xf numFmtId="0" fontId="14" fillId="8" borderId="14" xfId="0" applyFont="1" applyFill="1" applyBorder="1" applyAlignment="1">
      <alignment horizontal="left"/>
    </xf>
    <xf numFmtId="0" fontId="14" fillId="8" borderId="17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7" fillId="0" borderId="8" xfId="5" applyFont="1" applyFill="1" applyBorder="1" applyAlignment="1" applyProtection="1">
      <alignment horizontal="center" vertical="center" wrapText="1"/>
    </xf>
    <xf numFmtId="0" fontId="10" fillId="0" borderId="0" xfId="5" applyFont="1" applyFill="1" applyAlignment="1" applyProtection="1">
      <alignment horizontal="left" vertical="center" wrapText="1"/>
    </xf>
    <xf numFmtId="0" fontId="7" fillId="0" borderId="8" xfId="5" applyFont="1" applyFill="1" applyBorder="1" applyAlignment="1" applyProtection="1">
      <alignment horizontal="center" vertical="center"/>
    </xf>
    <xf numFmtId="0" fontId="10" fillId="0" borderId="0" xfId="5" applyFont="1" applyFill="1" applyAlignment="1" applyProtection="1">
      <alignment horizontal="left" wrapText="1"/>
    </xf>
    <xf numFmtId="0" fontId="9" fillId="0" borderId="5" xfId="5" applyFont="1" applyFill="1" applyBorder="1" applyAlignment="1" applyProtection="1">
      <alignment horizontal="center" vertical="center"/>
    </xf>
    <xf numFmtId="172" fontId="9" fillId="0" borderId="6" xfId="5" applyNumberFormat="1" applyFont="1" applyFill="1" applyBorder="1" applyAlignment="1" applyProtection="1">
      <alignment horizontal="center" vertical="center"/>
    </xf>
    <xf numFmtId="49" fontId="9" fillId="0" borderId="11" xfId="5" applyNumberFormat="1" applyFont="1" applyFill="1" applyBorder="1" applyAlignment="1" applyProtection="1">
      <alignment horizontal="left" vertical="center"/>
    </xf>
    <xf numFmtId="49" fontId="9" fillId="0" borderId="11" xfId="5" applyNumberFormat="1" applyFont="1" applyFill="1" applyBorder="1" applyAlignment="1" applyProtection="1">
      <alignment horizontal="center" vertical="center"/>
    </xf>
    <xf numFmtId="0" fontId="9" fillId="0" borderId="8" xfId="5" applyFont="1" applyFill="1" applyBorder="1" applyAlignment="1" applyProtection="1">
      <alignment wrapText="1"/>
    </xf>
    <xf numFmtId="0" fontId="9" fillId="0" borderId="8" xfId="5" applyFont="1" applyFill="1" applyBorder="1" applyAlignment="1" applyProtection="1"/>
    <xf numFmtId="0" fontId="10" fillId="0" borderId="0" xfId="5" applyFont="1" applyFill="1" applyAlignment="1" applyProtection="1">
      <alignment wrapText="1"/>
    </xf>
    <xf numFmtId="0" fontId="8" fillId="5" borderId="5" xfId="5" applyFont="1" applyFill="1" applyBorder="1" applyAlignment="1" applyProtection="1">
      <alignment horizontal="right" vertical="center"/>
    </xf>
    <xf numFmtId="10" fontId="8" fillId="5" borderId="11" xfId="5" applyNumberFormat="1" applyFont="1" applyFill="1" applyBorder="1" applyAlignment="1" applyProtection="1">
      <alignment horizontal="left" vertical="center"/>
    </xf>
    <xf numFmtId="0" fontId="9" fillId="0" borderId="10" xfId="5" applyFont="1" applyFill="1" applyBorder="1" applyAlignment="1" applyProtection="1">
      <alignment horizontal="center"/>
    </xf>
    <xf numFmtId="0" fontId="7" fillId="0" borderId="7" xfId="5" applyFont="1" applyFill="1" applyBorder="1" applyAlignment="1" applyProtection="1">
      <alignment horizontal="center"/>
    </xf>
    <xf numFmtId="0" fontId="7" fillId="0" borderId="8" xfId="5" applyFont="1" applyFill="1" applyBorder="1" applyAlignment="1" applyProtection="1">
      <alignment horizontal="right"/>
    </xf>
    <xf numFmtId="0" fontId="7" fillId="0" borderId="8" xfId="5" applyFont="1" applyFill="1" applyBorder="1" applyAlignment="1" applyProtection="1">
      <alignment horizontal="center"/>
    </xf>
    <xf numFmtId="0" fontId="9" fillId="0" borderId="9" xfId="5" applyFont="1" applyFill="1" applyBorder="1" applyAlignment="1" applyProtection="1">
      <alignment horizontal="center"/>
    </xf>
    <xf numFmtId="0" fontId="7" fillId="0" borderId="9" xfId="5" applyFont="1" applyFill="1" applyBorder="1" applyAlignment="1" applyProtection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8" fillId="5" borderId="7" xfId="5" applyFont="1" applyFill="1" applyBorder="1" applyAlignment="1" applyProtection="1">
      <alignment horizontal="center" vertical="center" wrapText="1"/>
    </xf>
    <xf numFmtId="0" fontId="3" fillId="0" borderId="1" xfId="8" applyFont="1" applyBorder="1" applyAlignment="1">
      <alignment horizontal="right" vertical="top"/>
    </xf>
    <xf numFmtId="0" fontId="3" fillId="0" borderId="0" xfId="0" applyFont="1" applyAlignment="1">
      <alignment horizontal="left" wrapText="1"/>
    </xf>
    <xf numFmtId="0" fontId="1" fillId="0" borderId="2" xfId="8" applyFont="1" applyBorder="1" applyAlignment="1">
      <alignment horizontal="center"/>
    </xf>
    <xf numFmtId="0" fontId="1" fillId="0" borderId="3" xfId="8" applyFont="1" applyBorder="1" applyAlignment="1">
      <alignment horizontal="center"/>
    </xf>
    <xf numFmtId="0" fontId="1" fillId="0" borderId="4" xfId="8" applyFont="1" applyBorder="1" applyAlignment="1">
      <alignment horizontal="center"/>
    </xf>
    <xf numFmtId="0" fontId="3" fillId="0" borderId="1" xfId="8" applyFont="1" applyBorder="1" applyAlignment="1">
      <alignment horizontal="center" vertical="center"/>
    </xf>
    <xf numFmtId="0" fontId="2" fillId="2" borderId="1" xfId="8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0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9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0" fontId="49" fillId="2" borderId="2" xfId="0" applyNumberFormat="1" applyFont="1" applyFill="1" applyBorder="1" applyAlignment="1">
      <alignment horizontal="left" vertical="center" wrapText="1"/>
    </xf>
    <xf numFmtId="0" fontId="49" fillId="2" borderId="3" xfId="0" applyFont="1" applyFill="1" applyBorder="1" applyAlignment="1">
      <alignment horizontal="left" vertical="center" wrapText="1"/>
    </xf>
    <xf numFmtId="0" fontId="49" fillId="2" borderId="4" xfId="0" applyFont="1" applyFill="1" applyBorder="1" applyAlignment="1">
      <alignment horizontal="left" vertical="center" wrapText="1"/>
    </xf>
    <xf numFmtId="14" fontId="49" fillId="0" borderId="0" xfId="0" applyNumberFormat="1" applyFont="1" applyFill="1" applyBorder="1" applyAlignment="1">
      <alignment horizontal="center" vertical="center"/>
    </xf>
    <xf numFmtId="0" fontId="51" fillId="2" borderId="2" xfId="9" applyNumberFormat="1" applyFont="1" applyFill="1" applyBorder="1" applyAlignment="1">
      <alignment horizontal="left" vertical="center" wrapText="1"/>
    </xf>
    <xf numFmtId="0" fontId="51" fillId="2" borderId="3" xfId="9" applyFont="1" applyFill="1" applyBorder="1" applyAlignment="1">
      <alignment horizontal="left" vertical="center" wrapText="1"/>
    </xf>
    <xf numFmtId="0" fontId="51" fillId="2" borderId="4" xfId="9" applyFont="1" applyFill="1" applyBorder="1" applyAlignment="1">
      <alignment horizontal="left" vertical="center" wrapText="1"/>
    </xf>
    <xf numFmtId="0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horizontal="center" vertical="center"/>
    </xf>
    <xf numFmtId="0" fontId="49" fillId="2" borderId="2" xfId="0" applyNumberFormat="1" applyFont="1" applyFill="1" applyBorder="1" applyAlignment="1">
      <alignment horizontal="left" vertical="center"/>
    </xf>
    <xf numFmtId="0" fontId="49" fillId="2" borderId="3" xfId="0" applyFont="1" applyFill="1" applyBorder="1" applyAlignment="1">
      <alignment horizontal="left" vertical="center"/>
    </xf>
    <xf numFmtId="0" fontId="49" fillId="2" borderId="4" xfId="0" applyFont="1" applyFill="1" applyBorder="1" applyAlignment="1">
      <alignment horizontal="left" vertical="center"/>
    </xf>
    <xf numFmtId="0" fontId="49" fillId="0" borderId="0" xfId="0" applyFont="1" applyAlignment="1">
      <alignment vertical="center" wrapText="1"/>
    </xf>
    <xf numFmtId="0" fontId="52" fillId="2" borderId="1" xfId="0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2" fontId="52" fillId="2" borderId="1" xfId="0" applyNumberFormat="1" applyFont="1" applyFill="1" applyBorder="1" applyAlignment="1">
      <alignment horizontal="center" vertical="center"/>
    </xf>
    <xf numFmtId="168" fontId="53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54" fillId="2" borderId="1" xfId="0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vertical="center" wrapText="1"/>
    </xf>
    <xf numFmtId="0" fontId="54" fillId="2" borderId="1" xfId="0" applyFont="1" applyFill="1" applyBorder="1" applyAlignment="1">
      <alignment horizontal="center" vertical="center"/>
    </xf>
    <xf numFmtId="2" fontId="54" fillId="2" borderId="1" xfId="0" applyNumberFormat="1" applyFont="1" applyFill="1" applyBorder="1" applyAlignment="1">
      <alignment horizontal="center" vertical="center"/>
    </xf>
    <xf numFmtId="4" fontId="52" fillId="2" borderId="1" xfId="0" applyNumberFormat="1" applyFont="1" applyFill="1" applyBorder="1" applyAlignment="1">
      <alignment horizontal="right" vertical="center"/>
    </xf>
    <xf numFmtId="0" fontId="54" fillId="0" borderId="1" xfId="0" applyNumberFormat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4" fillId="0" borderId="1" xfId="0" applyFont="1" applyFill="1" applyBorder="1" applyAlignment="1">
      <alignment horizontal="center" vertical="center" wrapText="1"/>
    </xf>
    <xf numFmtId="4" fontId="54" fillId="0" borderId="1" xfId="0" applyNumberFormat="1" applyFont="1" applyFill="1" applyBorder="1" applyAlignment="1">
      <alignment horizontal="right" vertical="center" wrapText="1"/>
    </xf>
    <xf numFmtId="2" fontId="54" fillId="0" borderId="1" xfId="0" applyNumberFormat="1" applyFont="1" applyFill="1" applyBorder="1" applyAlignment="1">
      <alignment horizontal="right" vertical="center" wrapText="1"/>
    </xf>
    <xf numFmtId="4" fontId="54" fillId="0" borderId="1" xfId="0" applyNumberFormat="1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left" vertical="center" wrapText="1"/>
    </xf>
    <xf numFmtId="2" fontId="54" fillId="11" borderId="1" xfId="0" applyNumberFormat="1" applyFont="1" applyFill="1" applyBorder="1" applyAlignment="1">
      <alignment horizontal="right" vertical="center" wrapText="1"/>
    </xf>
    <xf numFmtId="168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2" fontId="54" fillId="2" borderId="1" xfId="0" applyNumberFormat="1" applyFont="1" applyFill="1" applyBorder="1" applyAlignment="1">
      <alignment vertical="center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center" vertical="center" wrapText="1"/>
    </xf>
    <xf numFmtId="2" fontId="54" fillId="0" borderId="1" xfId="0" applyNumberFormat="1" applyFont="1" applyBorder="1" applyAlignment="1">
      <alignment horizontal="right" vertical="center" wrapText="1"/>
    </xf>
    <xf numFmtId="4" fontId="54" fillId="0" borderId="1" xfId="0" applyNumberFormat="1" applyFont="1" applyBorder="1" applyAlignment="1">
      <alignment horizontal="right" vertical="center"/>
    </xf>
    <xf numFmtId="0" fontId="54" fillId="0" borderId="1" xfId="0" applyFont="1" applyBorder="1" applyAlignment="1">
      <alignment horizontal="left" vertical="center" wrapText="1"/>
    </xf>
    <xf numFmtId="0" fontId="54" fillId="0" borderId="1" xfId="0" applyNumberFormat="1" applyFont="1" applyBorder="1" applyAlignment="1">
      <alignment horizontal="center" vertical="center" wrapText="1"/>
    </xf>
    <xf numFmtId="0" fontId="54" fillId="0" borderId="1" xfId="0" applyFont="1" applyFill="1" applyBorder="1" applyAlignment="1">
      <alignment vertical="center" wrapText="1"/>
    </xf>
    <xf numFmtId="0" fontId="54" fillId="11" borderId="1" xfId="0" applyFont="1" applyFill="1" applyBorder="1" applyAlignment="1">
      <alignment horizontal="right" vertical="center" wrapText="1"/>
    </xf>
    <xf numFmtId="0" fontId="54" fillId="17" borderId="1" xfId="0" applyNumberFormat="1" applyFont="1" applyFill="1" applyBorder="1" applyAlignment="1">
      <alignment horizontal="center" vertical="center"/>
    </xf>
    <xf numFmtId="0" fontId="52" fillId="17" borderId="1" xfId="0" applyFont="1" applyFill="1" applyBorder="1" applyAlignment="1">
      <alignment horizontal="center" vertical="center"/>
    </xf>
    <xf numFmtId="0" fontId="52" fillId="17" borderId="1" xfId="0" applyFont="1" applyFill="1" applyBorder="1" applyAlignment="1">
      <alignment vertical="center" wrapText="1"/>
    </xf>
    <xf numFmtId="0" fontId="54" fillId="17" borderId="1" xfId="0" applyFont="1" applyFill="1" applyBorder="1" applyAlignment="1">
      <alignment horizontal="center" vertical="center"/>
    </xf>
    <xf numFmtId="2" fontId="54" fillId="17" borderId="1" xfId="0" applyNumberFormat="1" applyFont="1" applyFill="1" applyBorder="1" applyAlignment="1">
      <alignment vertical="center"/>
    </xf>
    <xf numFmtId="4" fontId="52" fillId="17" borderId="1" xfId="0" applyNumberFormat="1" applyFont="1" applyFill="1" applyBorder="1" applyAlignment="1">
      <alignment horizontal="right" vertical="center"/>
    </xf>
    <xf numFmtId="4" fontId="54" fillId="11" borderId="1" xfId="0" applyNumberFormat="1" applyFont="1" applyFill="1" applyBorder="1" applyAlignment="1">
      <alignment horizontal="right" vertical="center" wrapText="1"/>
    </xf>
    <xf numFmtId="0" fontId="56" fillId="0" borderId="1" xfId="0" applyFont="1" applyBorder="1" applyAlignment="1">
      <alignment horizontal="center" vertical="center" wrapText="1"/>
    </xf>
    <xf numFmtId="165" fontId="55" fillId="0" borderId="0" xfId="0" applyNumberFormat="1" applyFont="1" applyAlignment="1">
      <alignment vertical="center"/>
    </xf>
    <xf numFmtId="0" fontId="52" fillId="17" borderId="1" xfId="0" applyNumberFormat="1" applyFont="1" applyFill="1" applyBorder="1" applyAlignment="1">
      <alignment horizontal="center" vertical="center" wrapText="1"/>
    </xf>
    <xf numFmtId="0" fontId="52" fillId="17" borderId="1" xfId="0" applyFont="1" applyFill="1" applyBorder="1" applyAlignment="1">
      <alignment horizontal="center" vertical="center" wrapText="1"/>
    </xf>
    <xf numFmtId="0" fontId="52" fillId="17" borderId="1" xfId="0" applyFont="1" applyFill="1" applyBorder="1" applyAlignment="1">
      <alignment horizontal="left" vertical="center" wrapText="1"/>
    </xf>
    <xf numFmtId="2" fontId="52" fillId="17" borderId="1" xfId="0" applyNumberFormat="1" applyFont="1" applyFill="1" applyBorder="1" applyAlignment="1">
      <alignment horizontal="right" vertical="center" wrapText="1"/>
    </xf>
    <xf numFmtId="0" fontId="52" fillId="17" borderId="1" xfId="0" applyFont="1" applyFill="1" applyBorder="1" applyAlignment="1">
      <alignment horizontal="right" vertical="center" wrapText="1"/>
    </xf>
    <xf numFmtId="177" fontId="54" fillId="11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center" wrapText="1"/>
    </xf>
    <xf numFmtId="2" fontId="56" fillId="0" borderId="1" xfId="0" applyNumberFormat="1" applyFont="1" applyFill="1" applyBorder="1" applyAlignment="1">
      <alignment horizontal="right" vertical="center" wrapText="1"/>
    </xf>
    <xf numFmtId="4" fontId="56" fillId="0" borderId="1" xfId="0" applyNumberFormat="1" applyFont="1" applyFill="1" applyBorder="1" applyAlignment="1">
      <alignment horizontal="right" vertical="center" wrapText="1"/>
    </xf>
    <xf numFmtId="4" fontId="56" fillId="0" borderId="1" xfId="0" applyNumberFormat="1" applyFont="1" applyBorder="1" applyAlignment="1">
      <alignment horizontal="right" vertical="center"/>
    </xf>
    <xf numFmtId="2" fontId="57" fillId="11" borderId="1" xfId="0" applyNumberFormat="1" applyFont="1" applyFill="1" applyBorder="1" applyAlignment="1">
      <alignment horizontal="right" vertical="center" wrapText="1"/>
    </xf>
    <xf numFmtId="4" fontId="54" fillId="0" borderId="1" xfId="0" applyNumberFormat="1" applyFont="1" applyBorder="1" applyAlignment="1">
      <alignment horizontal="right" vertical="center" wrapText="1"/>
    </xf>
    <xf numFmtId="0" fontId="54" fillId="10" borderId="1" xfId="0" applyFont="1" applyFill="1" applyBorder="1" applyAlignment="1">
      <alignment horizontal="center" vertical="center"/>
    </xf>
    <xf numFmtId="0" fontId="52" fillId="10" borderId="1" xfId="0" applyFont="1" applyFill="1" applyBorder="1" applyAlignment="1">
      <alignment horizontal="center" vertical="center"/>
    </xf>
    <xf numFmtId="0" fontId="52" fillId="10" borderId="1" xfId="0" applyFont="1" applyFill="1" applyBorder="1" applyAlignment="1">
      <alignment vertical="center" wrapText="1"/>
    </xf>
    <xf numFmtId="2" fontId="54" fillId="10" borderId="1" xfId="0" applyNumberFormat="1" applyFont="1" applyFill="1" applyBorder="1" applyAlignment="1">
      <alignment vertical="center"/>
    </xf>
    <xf numFmtId="4" fontId="52" fillId="10" borderId="1" xfId="0" applyNumberFormat="1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 wrapText="1"/>
    </xf>
    <xf numFmtId="2" fontId="52" fillId="2" borderId="1" xfId="0" applyNumberFormat="1" applyFont="1" applyFill="1" applyBorder="1" applyAlignment="1">
      <alignment vertical="center"/>
    </xf>
    <xf numFmtId="0" fontId="54" fillId="0" borderId="1" xfId="0" applyFont="1" applyFill="1" applyBorder="1" applyAlignment="1">
      <alignment horizontal="center" vertical="center"/>
    </xf>
    <xf numFmtId="9" fontId="54" fillId="0" borderId="1" xfId="3" applyFont="1" applyFill="1" applyBorder="1" applyAlignment="1">
      <alignment horizontal="right" vertical="center"/>
    </xf>
    <xf numFmtId="0" fontId="48" fillId="0" borderId="0" xfId="0" applyFont="1" applyBorder="1" applyAlignment="1">
      <alignment vertical="center"/>
    </xf>
    <xf numFmtId="0" fontId="54" fillId="0" borderId="0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center" vertical="center"/>
    </xf>
    <xf numFmtId="9" fontId="54" fillId="0" borderId="1" xfId="3" applyFont="1" applyBorder="1" applyAlignment="1">
      <alignment horizontal="right" vertical="center"/>
    </xf>
    <xf numFmtId="4" fontId="54" fillId="11" borderId="1" xfId="0" applyNumberFormat="1" applyFont="1" applyFill="1" applyBorder="1" applyAlignment="1">
      <alignment horizontal="right" vertical="center"/>
    </xf>
    <xf numFmtId="0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 wrapText="1"/>
    </xf>
    <xf numFmtId="174" fontId="48" fillId="0" borderId="0" xfId="3" applyNumberFormat="1" applyFont="1" applyAlignment="1">
      <alignment vertical="center"/>
    </xf>
    <xf numFmtId="174" fontId="48" fillId="0" borderId="0" xfId="3" applyNumberFormat="1" applyFont="1" applyBorder="1" applyAlignment="1">
      <alignment vertical="center"/>
    </xf>
    <xf numFmtId="0" fontId="52" fillId="2" borderId="2" xfId="0" applyNumberFormat="1" applyFont="1" applyFill="1" applyBorder="1" applyAlignment="1">
      <alignment horizontal="right" vertical="center"/>
    </xf>
    <xf numFmtId="0" fontId="52" fillId="2" borderId="3" xfId="0" applyFont="1" applyFill="1" applyBorder="1" applyAlignment="1">
      <alignment horizontal="right" vertical="center"/>
    </xf>
    <xf numFmtId="0" fontId="52" fillId="2" borderId="4" xfId="0" applyFont="1" applyFill="1" applyBorder="1" applyAlignment="1">
      <alignment horizontal="right" vertical="center"/>
    </xf>
    <xf numFmtId="165" fontId="52" fillId="2" borderId="2" xfId="0" applyNumberFormat="1" applyFont="1" applyFill="1" applyBorder="1" applyAlignment="1">
      <alignment horizontal="center" vertical="center"/>
    </xf>
    <xf numFmtId="165" fontId="52" fillId="2" borderId="4" xfId="0" applyNumberFormat="1" applyFont="1" applyFill="1" applyBorder="1" applyAlignment="1">
      <alignment horizontal="center" vertical="center"/>
    </xf>
    <xf numFmtId="2" fontId="48" fillId="0" borderId="0" xfId="0" applyNumberFormat="1" applyFont="1" applyAlignment="1">
      <alignment vertical="center"/>
    </xf>
    <xf numFmtId="171" fontId="48" fillId="0" borderId="0" xfId="0" applyNumberFormat="1" applyFont="1" applyBorder="1" applyAlignment="1">
      <alignment vertical="center"/>
    </xf>
    <xf numFmtId="171" fontId="48" fillId="0" borderId="0" xfId="0" applyNumberFormat="1" applyFont="1" applyAlignment="1">
      <alignment vertical="center"/>
    </xf>
    <xf numFmtId="2" fontId="54" fillId="0" borderId="1" xfId="0" applyNumberFormat="1" applyFont="1" applyFill="1" applyBorder="1" applyAlignment="1">
      <alignment horizontal="right" vertical="center"/>
    </xf>
    <xf numFmtId="0" fontId="57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59" fillId="0" borderId="2" xfId="0" applyNumberFormat="1" applyFont="1" applyBorder="1" applyAlignment="1">
      <alignment horizontal="left" vertical="top" wrapText="1"/>
    </xf>
    <xf numFmtId="0" fontId="59" fillId="0" borderId="3" xfId="0" applyFont="1" applyBorder="1" applyAlignment="1">
      <alignment horizontal="left" vertical="top" wrapText="1"/>
    </xf>
    <xf numFmtId="0" fontId="59" fillId="0" borderId="4" xfId="0" applyFont="1" applyBorder="1" applyAlignment="1">
      <alignment horizontal="left" vertical="top" wrapText="1"/>
    </xf>
    <xf numFmtId="0" fontId="59" fillId="0" borderId="14" xfId="0" applyNumberFormat="1" applyFont="1" applyBorder="1" applyAlignment="1">
      <alignment horizontal="center" vertical="top" wrapText="1"/>
    </xf>
    <xf numFmtId="0" fontId="59" fillId="0" borderId="14" xfId="0" applyFont="1" applyBorder="1" applyAlignment="1">
      <alignment horizontal="left" vertical="top" wrapText="1"/>
    </xf>
    <xf numFmtId="0" fontId="59" fillId="0" borderId="0" xfId="0" applyNumberFormat="1" applyFont="1" applyBorder="1" applyAlignment="1">
      <alignment horizontal="left" vertical="top"/>
    </xf>
    <xf numFmtId="0" fontId="59" fillId="0" borderId="0" xfId="0" applyFont="1" applyBorder="1" applyAlignment="1">
      <alignment horizontal="left" vertical="top"/>
    </xf>
    <xf numFmtId="0" fontId="49" fillId="0" borderId="0" xfId="0" applyNumberFormat="1" applyFont="1" applyBorder="1" applyAlignment="1">
      <alignment horizontal="center" vertical="top"/>
    </xf>
    <xf numFmtId="0" fontId="49" fillId="0" borderId="0" xfId="0" applyFont="1" applyBorder="1" applyAlignment="1">
      <alignment vertical="top"/>
    </xf>
    <xf numFmtId="0" fontId="48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</cellXfs>
  <cellStyles count="12">
    <cellStyle name="Normal" xfId="0" builtinId="0"/>
    <cellStyle name="Normal 11" xfId="10" xr:uid="{00000000-0005-0000-0000-000038000000}"/>
    <cellStyle name="Normal 19" xfId="8" xr:uid="{00000000-0005-0000-0000-000024000000}"/>
    <cellStyle name="Normal 2" xfId="9" xr:uid="{00000000-0005-0000-0000-000026000000}"/>
    <cellStyle name="Normal 2 10" xfId="5" xr:uid="{00000000-0005-0000-0000-000016000000}"/>
    <cellStyle name="Normal_aPlanilha Orçamentária Modelo" xfId="6" xr:uid="{00000000-0005-0000-0000-000018000000}"/>
    <cellStyle name="Normal_Orçamento_Sinalização Viária" xfId="7" xr:uid="{00000000-0005-0000-0000-000023000000}"/>
    <cellStyle name="Normal_Pesquisa no referencial 10 de maio de 2013 2" xfId="11" xr:uid="{00000000-0005-0000-0000-000039000000}"/>
    <cellStyle name="Porcentagem" xfId="3" builtinId="5"/>
    <cellStyle name="TableStyleLight1" xfId="4" xr:uid="{00000000-0005-0000-0000-00000C000000}"/>
    <cellStyle name="Vírgula" xfId="1" builtinId="3"/>
    <cellStyle name="Vírgula 7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130"/>
  <sheetViews>
    <sheetView view="pageBreakPreview" topLeftCell="A106" zoomScale="85" zoomScaleNormal="130" zoomScaleSheetLayoutView="85" workbookViewId="0">
      <selection activeCell="C117" sqref="C117"/>
    </sheetView>
  </sheetViews>
  <sheetFormatPr defaultColWidth="9.140625" defaultRowHeight="15.95" customHeight="1"/>
  <cols>
    <col min="1" max="1" width="9" style="406" customWidth="1"/>
    <col min="2" max="2" width="5.5703125" style="407" customWidth="1"/>
    <col min="3" max="3" width="54.5703125" style="408" customWidth="1"/>
    <col min="4" max="4" width="4.7109375" style="407" customWidth="1"/>
    <col min="5" max="5" width="7" style="407" customWidth="1"/>
    <col min="6" max="6" width="8.42578125" style="407" customWidth="1"/>
    <col min="7" max="7" width="10" style="407" customWidth="1"/>
    <col min="8" max="8" width="13.28515625" style="409" customWidth="1"/>
    <col min="9" max="9" width="12.28515625" style="409" customWidth="1"/>
    <col min="10" max="16384" width="9.140625" style="409"/>
  </cols>
  <sheetData>
    <row r="1" spans="1:13" ht="3" customHeight="1"/>
    <row r="2" spans="1:13" ht="15.95" customHeight="1">
      <c r="A2" s="410" t="s">
        <v>0</v>
      </c>
      <c r="B2" s="411"/>
      <c r="C2" s="411"/>
      <c r="D2" s="411"/>
      <c r="E2" s="411"/>
      <c r="F2" s="411"/>
      <c r="G2" s="411"/>
      <c r="H2" s="412"/>
      <c r="I2" s="412"/>
      <c r="J2" s="412"/>
      <c r="K2" s="412"/>
      <c r="L2" s="412"/>
      <c r="M2" s="412"/>
    </row>
    <row r="3" spans="1:13" ht="3.95" customHeight="1">
      <c r="A3" s="413"/>
      <c r="B3" s="414"/>
      <c r="C3" s="415"/>
      <c r="D3" s="414"/>
      <c r="E3" s="414"/>
      <c r="F3" s="414"/>
      <c r="G3" s="414"/>
      <c r="H3" s="412"/>
      <c r="I3" s="412"/>
      <c r="J3" s="412"/>
      <c r="K3" s="412"/>
      <c r="L3" s="412"/>
      <c r="M3" s="412"/>
    </row>
    <row r="4" spans="1:13" ht="24" customHeight="1">
      <c r="A4" s="416" t="s">
        <v>1</v>
      </c>
      <c r="B4" s="417"/>
      <c r="C4" s="417"/>
      <c r="D4" s="417"/>
      <c r="E4" s="417"/>
      <c r="F4" s="417"/>
      <c r="G4" s="418"/>
    </row>
    <row r="5" spans="1:13" ht="3.95" customHeight="1">
      <c r="A5" s="413"/>
      <c r="B5" s="414"/>
      <c r="C5" s="415"/>
      <c r="D5" s="414"/>
      <c r="E5" s="414"/>
      <c r="F5" s="419"/>
      <c r="G5" s="414"/>
    </row>
    <row r="6" spans="1:13" ht="15">
      <c r="A6" s="420" t="s">
        <v>2</v>
      </c>
      <c r="B6" s="421"/>
      <c r="C6" s="421"/>
      <c r="D6" s="421"/>
      <c r="E6" s="421"/>
      <c r="F6" s="421"/>
      <c r="G6" s="422"/>
    </row>
    <row r="7" spans="1:13" ht="3.95" customHeight="1">
      <c r="A7" s="423"/>
      <c r="B7" s="424"/>
      <c r="C7" s="425"/>
      <c r="D7" s="426"/>
      <c r="E7" s="426"/>
      <c r="F7" s="426"/>
      <c r="G7" s="426"/>
    </row>
    <row r="8" spans="1:13" ht="15.95" customHeight="1">
      <c r="A8" s="427" t="s">
        <v>3</v>
      </c>
      <c r="B8" s="428"/>
      <c r="C8" s="429"/>
      <c r="D8" s="411" t="s">
        <v>4</v>
      </c>
      <c r="E8" s="411"/>
      <c r="F8" s="411"/>
      <c r="G8" s="411"/>
    </row>
    <row r="9" spans="1:13" ht="6" customHeight="1">
      <c r="A9" s="423"/>
      <c r="B9" s="426"/>
      <c r="C9" s="430"/>
      <c r="D9" s="426"/>
      <c r="E9" s="426"/>
      <c r="F9" s="426"/>
      <c r="G9" s="426"/>
    </row>
    <row r="10" spans="1:13" s="436" customFormat="1" ht="15.95" customHeight="1">
      <c r="A10" s="431" t="s">
        <v>5</v>
      </c>
      <c r="B10" s="432" t="s">
        <v>6</v>
      </c>
      <c r="C10" s="433" t="s">
        <v>7</v>
      </c>
      <c r="D10" s="432" t="s">
        <v>8</v>
      </c>
      <c r="E10" s="434" t="s">
        <v>9</v>
      </c>
      <c r="F10" s="434" t="s">
        <v>10</v>
      </c>
      <c r="G10" s="434" t="s">
        <v>11</v>
      </c>
      <c r="H10" s="435"/>
    </row>
    <row r="11" spans="1:13" s="436" customFormat="1" ht="12.75">
      <c r="A11" s="437"/>
      <c r="B11" s="432">
        <v>1</v>
      </c>
      <c r="C11" s="438" t="s">
        <v>12</v>
      </c>
      <c r="D11" s="439"/>
      <c r="E11" s="440"/>
      <c r="F11" s="440"/>
      <c r="G11" s="441">
        <f>SUM(G13:G14)</f>
        <v>1556.75</v>
      </c>
      <c r="H11" s="435"/>
    </row>
    <row r="12" spans="1:13" s="436" customFormat="1" ht="12.75">
      <c r="A12" s="442"/>
      <c r="B12" s="443" t="s">
        <v>13</v>
      </c>
      <c r="C12" s="444" t="s">
        <v>14</v>
      </c>
      <c r="D12" s="445"/>
      <c r="E12" s="446"/>
      <c r="F12" s="447"/>
      <c r="G12" s="448"/>
      <c r="H12" s="435"/>
    </row>
    <row r="13" spans="1:13" s="452" customFormat="1" ht="22.5">
      <c r="A13" s="442" t="s">
        <v>15</v>
      </c>
      <c r="B13" s="445" t="s">
        <v>16</v>
      </c>
      <c r="C13" s="449" t="s">
        <v>17</v>
      </c>
      <c r="D13" s="445" t="s">
        <v>18</v>
      </c>
      <c r="E13" s="446">
        <f>'PB VI - MEMÓRIA DE CÁLCULO'!G15</f>
        <v>5.18</v>
      </c>
      <c r="F13" s="450">
        <v>300.52999999999997</v>
      </c>
      <c r="G13" s="448">
        <f>ROUND(E13*F13,2)</f>
        <v>1556.75</v>
      </c>
      <c r="H13" s="451"/>
    </row>
    <row r="14" spans="1:13" s="452" customFormat="1" ht="12">
      <c r="A14" s="442"/>
      <c r="B14" s="445"/>
      <c r="C14" s="449"/>
      <c r="D14" s="445"/>
      <c r="E14" s="446"/>
      <c r="F14" s="450"/>
      <c r="G14" s="448"/>
      <c r="H14" s="451"/>
    </row>
    <row r="15" spans="1:13" s="452" customFormat="1" ht="12.75">
      <c r="A15" s="437"/>
      <c r="B15" s="432">
        <v>2</v>
      </c>
      <c r="C15" s="438" t="s">
        <v>19</v>
      </c>
      <c r="D15" s="439"/>
      <c r="E15" s="453"/>
      <c r="F15" s="453"/>
      <c r="G15" s="441">
        <f>SUM(G16:G21)</f>
        <v>15607.48</v>
      </c>
      <c r="H15" s="435"/>
    </row>
    <row r="16" spans="1:13" s="452" customFormat="1" ht="12">
      <c r="A16" s="442"/>
      <c r="B16" s="454" t="s">
        <v>13</v>
      </c>
      <c r="C16" s="455" t="s">
        <v>20</v>
      </c>
      <c r="D16" s="456"/>
      <c r="E16" s="457"/>
      <c r="F16" s="450"/>
      <c r="G16" s="458"/>
      <c r="H16" s="451"/>
    </row>
    <row r="17" spans="1:8" s="452" customFormat="1" ht="22.5">
      <c r="A17" s="442" t="str">
        <f>'PB VIII - Comp. Auxiliares'!A8</f>
        <v>COMP. 01 - DPE</v>
      </c>
      <c r="B17" s="456" t="s">
        <v>21</v>
      </c>
      <c r="C17" s="459" t="s">
        <v>22</v>
      </c>
      <c r="D17" s="456" t="s">
        <v>18</v>
      </c>
      <c r="E17" s="447">
        <f>'PB VI - MEMÓRIA DE CÁLCULO'!G50+'PB VI - MEMÓRIA DE CÁLCULO'!G33</f>
        <v>638.08150000000001</v>
      </c>
      <c r="F17" s="447">
        <f>'PB VIII - Comp. Auxiliares'!F12</f>
        <v>2.8</v>
      </c>
      <c r="G17" s="458">
        <f t="shared" ref="G17:G20" si="0">ROUND(E17*F17,2)</f>
        <v>1786.63</v>
      </c>
      <c r="H17" s="451"/>
    </row>
    <row r="18" spans="1:8" s="452" customFormat="1" ht="12">
      <c r="A18" s="442" t="s">
        <v>23</v>
      </c>
      <c r="B18" s="456" t="s">
        <v>24</v>
      </c>
      <c r="C18" s="459" t="s">
        <v>25</v>
      </c>
      <c r="D18" s="456" t="s">
        <v>18</v>
      </c>
      <c r="E18" s="447">
        <f>'PB VI - MEMÓRIA DE CÁLCULO'!G50+'PB VI - MEMÓRIA DE CÁLCULO'!G33</f>
        <v>638.08150000000001</v>
      </c>
      <c r="F18" s="450">
        <v>1.66</v>
      </c>
      <c r="G18" s="458">
        <f t="shared" si="0"/>
        <v>1059.22</v>
      </c>
      <c r="H18" s="451"/>
    </row>
    <row r="19" spans="1:8" s="452" customFormat="1" ht="12">
      <c r="A19" s="442">
        <v>88497</v>
      </c>
      <c r="B19" s="456" t="s">
        <v>26</v>
      </c>
      <c r="C19" s="459" t="s">
        <v>27</v>
      </c>
      <c r="D19" s="456" t="s">
        <v>18</v>
      </c>
      <c r="E19" s="447">
        <f>'PB VI - MEMÓRIA DE CÁLCULO'!G33+'PB VI - MEMÓRIA DE CÁLCULO'!G50</f>
        <v>638.08150000000001</v>
      </c>
      <c r="F19" s="450">
        <v>10.32</v>
      </c>
      <c r="G19" s="458">
        <f t="shared" si="0"/>
        <v>6585</v>
      </c>
      <c r="H19" s="451"/>
    </row>
    <row r="20" spans="1:8" s="452" customFormat="1" ht="22.5">
      <c r="A20" s="442" t="s">
        <v>28</v>
      </c>
      <c r="B20" s="456" t="s">
        <v>29</v>
      </c>
      <c r="C20" s="459" t="s">
        <v>30</v>
      </c>
      <c r="D20" s="456" t="s">
        <v>18</v>
      </c>
      <c r="E20" s="447">
        <f>E19</f>
        <v>638.08150000000001</v>
      </c>
      <c r="F20" s="450">
        <v>9.68</v>
      </c>
      <c r="G20" s="458">
        <f t="shared" si="0"/>
        <v>6176.63</v>
      </c>
      <c r="H20" s="451"/>
    </row>
    <row r="21" spans="1:8" s="452" customFormat="1" ht="12">
      <c r="A21" s="460"/>
      <c r="B21" s="456"/>
      <c r="C21" s="459"/>
      <c r="D21" s="456"/>
      <c r="E21" s="447"/>
      <c r="F21" s="450"/>
      <c r="G21" s="458"/>
      <c r="H21" s="451"/>
    </row>
    <row r="22" spans="1:8" s="452" customFormat="1" ht="12">
      <c r="A22" s="437"/>
      <c r="B22" s="432">
        <v>3</v>
      </c>
      <c r="C22" s="438" t="s">
        <v>31</v>
      </c>
      <c r="D22" s="439"/>
      <c r="E22" s="453"/>
      <c r="F22" s="453"/>
      <c r="G22" s="441">
        <f>SUM(G23:G29)</f>
        <v>1669.04</v>
      </c>
      <c r="H22" s="451"/>
    </row>
    <row r="23" spans="1:8" s="452" customFormat="1" ht="12">
      <c r="A23" s="442">
        <v>37539</v>
      </c>
      <c r="B23" s="456" t="s">
        <v>32</v>
      </c>
      <c r="C23" s="461" t="s">
        <v>33</v>
      </c>
      <c r="D23" s="456" t="s">
        <v>34</v>
      </c>
      <c r="E23" s="447">
        <f>'PB VI - MEMÓRIA DE CÁLCULO'!G55</f>
        <v>9</v>
      </c>
      <c r="F23" s="450">
        <v>20</v>
      </c>
      <c r="G23" s="458">
        <f t="shared" ref="G23:G29" si="1">ROUND(E23*F23,2)</f>
        <v>180</v>
      </c>
      <c r="H23" s="451"/>
    </row>
    <row r="24" spans="1:8" s="452" customFormat="1" ht="12">
      <c r="A24" s="442">
        <v>37539</v>
      </c>
      <c r="B24" s="456" t="s">
        <v>35</v>
      </c>
      <c r="C24" s="461" t="s">
        <v>36</v>
      </c>
      <c r="D24" s="456" t="s">
        <v>34</v>
      </c>
      <c r="E24" s="447">
        <f>'PB VI - MEMÓRIA DE CÁLCULO'!G56</f>
        <v>2</v>
      </c>
      <c r="F24" s="450">
        <v>20</v>
      </c>
      <c r="G24" s="458">
        <f t="shared" si="1"/>
        <v>40</v>
      </c>
      <c r="H24" s="451"/>
    </row>
    <row r="25" spans="1:8" s="452" customFormat="1" ht="12">
      <c r="A25" s="442">
        <v>37539</v>
      </c>
      <c r="B25" s="456" t="s">
        <v>37</v>
      </c>
      <c r="C25" s="461" t="s">
        <v>38</v>
      </c>
      <c r="D25" s="456" t="s">
        <v>34</v>
      </c>
      <c r="E25" s="447">
        <f>'PB VI - MEMÓRIA DE CÁLCULO'!G57</f>
        <v>2</v>
      </c>
      <c r="F25" s="450">
        <v>20</v>
      </c>
      <c r="G25" s="458">
        <f t="shared" si="1"/>
        <v>40</v>
      </c>
      <c r="H25" s="451"/>
    </row>
    <row r="26" spans="1:8" s="452" customFormat="1" ht="22.5">
      <c r="A26" s="442">
        <v>84665</v>
      </c>
      <c r="B26" s="456" t="s">
        <v>39</v>
      </c>
      <c r="C26" s="461" t="s">
        <v>40</v>
      </c>
      <c r="D26" s="456" t="s">
        <v>18</v>
      </c>
      <c r="E26" s="447">
        <f>'PB VI - MEMÓRIA DE CÁLCULO'!G58</f>
        <v>2</v>
      </c>
      <c r="F26" s="450">
        <v>17.93</v>
      </c>
      <c r="G26" s="458">
        <f t="shared" si="1"/>
        <v>35.86</v>
      </c>
      <c r="H26" s="451"/>
    </row>
    <row r="27" spans="1:8" s="452" customFormat="1" ht="12">
      <c r="A27" s="442" t="s">
        <v>41</v>
      </c>
      <c r="B27" s="456" t="s">
        <v>42</v>
      </c>
      <c r="C27" s="461" t="s">
        <v>43</v>
      </c>
      <c r="D27" s="456" t="s">
        <v>34</v>
      </c>
      <c r="E27" s="447">
        <f>'PB VI - MEMÓRIA DE CÁLCULO'!G59</f>
        <v>2</v>
      </c>
      <c r="F27" s="450">
        <v>11.95</v>
      </c>
      <c r="G27" s="458">
        <f t="shared" si="1"/>
        <v>23.9</v>
      </c>
      <c r="H27" s="451"/>
    </row>
    <row r="28" spans="1:8" s="452" customFormat="1" ht="22.5">
      <c r="A28" s="442" t="s">
        <v>44</v>
      </c>
      <c r="B28" s="456" t="s">
        <v>45</v>
      </c>
      <c r="C28" s="461" t="s">
        <v>46</v>
      </c>
      <c r="D28" s="456" t="s">
        <v>34</v>
      </c>
      <c r="E28" s="447">
        <f>'PB VI - MEMÓRIA DE CÁLCULO'!G60</f>
        <v>4</v>
      </c>
      <c r="F28" s="450">
        <v>217.89</v>
      </c>
      <c r="G28" s="458">
        <f t="shared" si="1"/>
        <v>871.56</v>
      </c>
      <c r="H28" s="451"/>
    </row>
    <row r="29" spans="1:8" s="452" customFormat="1" ht="22.5">
      <c r="A29" s="442" t="str">
        <f>'PB VIII - Comp. Auxiliares'!A15</f>
        <v>COMP. 02 - DPE</v>
      </c>
      <c r="B29" s="456" t="s">
        <v>47</v>
      </c>
      <c r="C29" s="461" t="s">
        <v>48</v>
      </c>
      <c r="D29" s="445" t="s">
        <v>34</v>
      </c>
      <c r="E29" s="447">
        <f>'PB VI - MEMÓRIA DE CÁLCULO'!G61</f>
        <v>12</v>
      </c>
      <c r="F29" s="450">
        <f>'PB VIII - Comp. Auxiliares'!F21</f>
        <v>39.81</v>
      </c>
      <c r="G29" s="448">
        <f t="shared" si="1"/>
        <v>477.72</v>
      </c>
      <c r="H29" s="451"/>
    </row>
    <row r="30" spans="1:8" s="452" customFormat="1" ht="12">
      <c r="A30" s="442"/>
      <c r="B30" s="456"/>
      <c r="C30" s="461"/>
      <c r="D30" s="456"/>
      <c r="E30" s="457"/>
      <c r="F30" s="462"/>
      <c r="G30" s="458"/>
      <c r="H30" s="451"/>
    </row>
    <row r="31" spans="1:8" s="452" customFormat="1" ht="12">
      <c r="A31" s="463"/>
      <c r="B31" s="464">
        <v>4</v>
      </c>
      <c r="C31" s="465" t="s">
        <v>49</v>
      </c>
      <c r="D31" s="466"/>
      <c r="E31" s="467"/>
      <c r="F31" s="467"/>
      <c r="G31" s="468">
        <f>SUM(G33:G69)</f>
        <v>14304.480000000001</v>
      </c>
      <c r="H31" s="451"/>
    </row>
    <row r="32" spans="1:8" s="452" customFormat="1" ht="12">
      <c r="A32" s="460"/>
      <c r="B32" s="454" t="s">
        <v>13</v>
      </c>
      <c r="C32" s="455" t="s">
        <v>50</v>
      </c>
      <c r="D32" s="456"/>
      <c r="E32" s="457"/>
      <c r="F32" s="462"/>
      <c r="G32" s="458"/>
      <c r="H32" s="451"/>
    </row>
    <row r="33" spans="1:8" s="452" customFormat="1" ht="22.5">
      <c r="A33" s="460" t="str">
        <f>'PB VIII - Comp. Auxiliares'!A23</f>
        <v>COMP. 03 - DPE</v>
      </c>
      <c r="B33" s="456" t="s">
        <v>51</v>
      </c>
      <c r="C33" s="459" t="s">
        <v>52</v>
      </c>
      <c r="D33" s="456" t="s">
        <v>34</v>
      </c>
      <c r="E33" s="457">
        <v>28</v>
      </c>
      <c r="F33" s="469">
        <f>'PB VIII - Comp. Auxiliares'!F29</f>
        <v>222.69</v>
      </c>
      <c r="G33" s="458">
        <f>ROUND(E33*F33,2)</f>
        <v>6235.32</v>
      </c>
      <c r="H33" s="451"/>
    </row>
    <row r="34" spans="1:8" s="452" customFormat="1" ht="22.5">
      <c r="A34" s="442" t="str">
        <f>'PB VIII - Comp. Auxiliares'!A31</f>
        <v>COMP. 04 - DPE</v>
      </c>
      <c r="B34" s="456" t="s">
        <v>53</v>
      </c>
      <c r="C34" s="449" t="str">
        <f>'PB VIII - Comp. Auxiliares'!B31</f>
        <v>Lâmpada multivapor metálico 150 W ovóide para uso na horizontal - fornecimento e instalação</v>
      </c>
      <c r="D34" s="456" t="s">
        <v>34</v>
      </c>
      <c r="E34" s="447">
        <v>4</v>
      </c>
      <c r="F34" s="469">
        <f>'PB VIII - Comp. Auxiliares'!F36</f>
        <v>31.17</v>
      </c>
      <c r="G34" s="458">
        <f t="shared" ref="G34:G69" si="2">ROUND(E34*F34,2)</f>
        <v>124.68</v>
      </c>
      <c r="H34" s="451"/>
    </row>
    <row r="35" spans="1:8" s="452" customFormat="1" ht="22.5">
      <c r="A35" s="442" t="str">
        <f>'PB VIII - Comp. Auxiliares'!A38</f>
        <v>COMP. 05 - DPE</v>
      </c>
      <c r="B35" s="456" t="s">
        <v>54</v>
      </c>
      <c r="C35" s="449" t="str">
        <f>'PB VIII - Comp. Auxiliares'!B38</f>
        <v>Reator para lâmpada vapor metalico até 400 w, alto fator de potencia, uso externo - fornecimento e instalação</v>
      </c>
      <c r="D35" s="456" t="s">
        <v>34</v>
      </c>
      <c r="E35" s="447">
        <v>4</v>
      </c>
      <c r="F35" s="469">
        <v>124.46</v>
      </c>
      <c r="G35" s="458">
        <f t="shared" si="2"/>
        <v>497.84</v>
      </c>
      <c r="H35" s="451"/>
    </row>
    <row r="36" spans="1:8" s="452" customFormat="1" ht="22.5">
      <c r="A36" s="442">
        <v>91992</v>
      </c>
      <c r="B36" s="456" t="s">
        <v>55</v>
      </c>
      <c r="C36" s="449" t="s">
        <v>56</v>
      </c>
      <c r="D36" s="456" t="s">
        <v>34</v>
      </c>
      <c r="E36" s="447">
        <v>6</v>
      </c>
      <c r="F36" s="469">
        <v>28.7</v>
      </c>
      <c r="G36" s="458">
        <f t="shared" si="2"/>
        <v>172.2</v>
      </c>
      <c r="H36" s="451"/>
    </row>
    <row r="37" spans="1:8" s="452" customFormat="1" ht="22.5">
      <c r="A37" s="470">
        <v>92008</v>
      </c>
      <c r="B37" s="456" t="s">
        <v>57</v>
      </c>
      <c r="C37" s="459" t="s">
        <v>58</v>
      </c>
      <c r="D37" s="456" t="s">
        <v>34</v>
      </c>
      <c r="E37" s="457">
        <v>7</v>
      </c>
      <c r="F37" s="469">
        <v>29.71</v>
      </c>
      <c r="G37" s="458">
        <f t="shared" si="2"/>
        <v>207.97</v>
      </c>
      <c r="H37" s="451"/>
    </row>
    <row r="38" spans="1:8" s="452" customFormat="1" ht="22.5">
      <c r="A38" s="460" t="str">
        <f>'PB VIII - Comp. Auxiliares'!A45</f>
        <v>COMP. 06 - DPE</v>
      </c>
      <c r="B38" s="456" t="s">
        <v>59</v>
      </c>
      <c r="C38" s="449" t="str">
        <f>'PB VIII - Comp. Auxiliares'!B45</f>
        <v>Troca do ponto de tomada das centrais de ar</v>
      </c>
      <c r="D38" s="456" t="s">
        <v>34</v>
      </c>
      <c r="E38" s="457">
        <v>7</v>
      </c>
      <c r="F38" s="469">
        <f>'PB VIII - Comp. Auxiliares'!F52</f>
        <v>78.59</v>
      </c>
      <c r="G38" s="458">
        <f t="shared" si="2"/>
        <v>550.13</v>
      </c>
      <c r="H38" s="451"/>
    </row>
    <row r="39" spans="1:8" s="452" customFormat="1" ht="12">
      <c r="A39" s="460"/>
      <c r="B39" s="454" t="s">
        <v>60</v>
      </c>
      <c r="C39" s="455" t="s">
        <v>61</v>
      </c>
      <c r="D39" s="456"/>
      <c r="E39" s="457"/>
      <c r="F39" s="469"/>
      <c r="G39" s="458"/>
      <c r="H39" s="451"/>
    </row>
    <row r="40" spans="1:8" s="452" customFormat="1" ht="22.5">
      <c r="A40" s="460">
        <v>90447</v>
      </c>
      <c r="B40" s="456" t="s">
        <v>62</v>
      </c>
      <c r="C40" s="459" t="s">
        <v>63</v>
      </c>
      <c r="D40" s="456" t="s">
        <v>64</v>
      </c>
      <c r="E40" s="457">
        <v>13.9</v>
      </c>
      <c r="F40" s="469">
        <v>5.21</v>
      </c>
      <c r="G40" s="458">
        <f t="shared" si="2"/>
        <v>72.42</v>
      </c>
      <c r="H40" s="451"/>
    </row>
    <row r="41" spans="1:8" s="452" customFormat="1" ht="22.5">
      <c r="A41" s="460">
        <v>90466</v>
      </c>
      <c r="B41" s="456" t="s">
        <v>65</v>
      </c>
      <c r="C41" s="459" t="s">
        <v>66</v>
      </c>
      <c r="D41" s="456" t="s">
        <v>64</v>
      </c>
      <c r="E41" s="457">
        <v>13.9</v>
      </c>
      <c r="F41" s="469">
        <v>10.66</v>
      </c>
      <c r="G41" s="458">
        <f t="shared" si="2"/>
        <v>148.16999999999999</v>
      </c>
      <c r="H41" s="451"/>
    </row>
    <row r="42" spans="1:8" s="452" customFormat="1" ht="22.5">
      <c r="A42" s="460">
        <v>91854</v>
      </c>
      <c r="B42" s="456" t="s">
        <v>67</v>
      </c>
      <c r="C42" s="459" t="s">
        <v>68</v>
      </c>
      <c r="D42" s="456" t="s">
        <v>64</v>
      </c>
      <c r="E42" s="457">
        <v>13.9</v>
      </c>
      <c r="F42" s="469">
        <v>6.66</v>
      </c>
      <c r="G42" s="458">
        <f t="shared" si="2"/>
        <v>92.57</v>
      </c>
      <c r="H42" s="451"/>
    </row>
    <row r="43" spans="1:8" s="452" customFormat="1" ht="22.5">
      <c r="A43" s="460">
        <v>91867</v>
      </c>
      <c r="B43" s="456" t="s">
        <v>69</v>
      </c>
      <c r="C43" s="459" t="s">
        <v>70</v>
      </c>
      <c r="D43" s="456" t="s">
        <v>64</v>
      </c>
      <c r="E43" s="457">
        <v>15.6</v>
      </c>
      <c r="F43" s="469">
        <v>6.06</v>
      </c>
      <c r="G43" s="458">
        <f t="shared" si="2"/>
        <v>94.54</v>
      </c>
      <c r="H43" s="451"/>
    </row>
    <row r="44" spans="1:8" s="452" customFormat="1" ht="12">
      <c r="A44" s="460">
        <v>93009</v>
      </c>
      <c r="B44" s="456" t="s">
        <v>71</v>
      </c>
      <c r="C44" s="459" t="s">
        <v>72</v>
      </c>
      <c r="D44" s="456" t="s">
        <v>64</v>
      </c>
      <c r="E44" s="457">
        <v>6</v>
      </c>
      <c r="F44" s="469">
        <v>13.52</v>
      </c>
      <c r="G44" s="458">
        <f t="shared" si="2"/>
        <v>81.12</v>
      </c>
      <c r="H44" s="451"/>
    </row>
    <row r="45" spans="1:8" s="452" customFormat="1" ht="22.5">
      <c r="A45" s="460" t="str">
        <f>'PB VIII - Comp. Auxiliares'!A54</f>
        <v>COMP. 07 - DPE</v>
      </c>
      <c r="B45" s="456" t="s">
        <v>73</v>
      </c>
      <c r="C45" s="459" t="str">
        <f>'PB VIII - Comp. Auxiliares'!B54</f>
        <v>Canaleta PVC 20x10mm - fornecimento e instalação</v>
      </c>
      <c r="D45" s="456" t="s">
        <v>64</v>
      </c>
      <c r="E45" s="457">
        <v>18.2</v>
      </c>
      <c r="F45" s="469">
        <f>'PB VIII - Comp. Auxiliares'!F58</f>
        <v>3.7700000000000005</v>
      </c>
      <c r="G45" s="458">
        <f t="shared" si="2"/>
        <v>68.61</v>
      </c>
      <c r="H45" s="451"/>
    </row>
    <row r="46" spans="1:8" s="452" customFormat="1" ht="12">
      <c r="A46" s="460">
        <v>90456</v>
      </c>
      <c r="B46" s="456" t="s">
        <v>74</v>
      </c>
      <c r="C46" s="459" t="s">
        <v>75</v>
      </c>
      <c r="D46" s="456" t="s">
        <v>34</v>
      </c>
      <c r="E46" s="457">
        <v>3</v>
      </c>
      <c r="F46" s="469">
        <v>3.44</v>
      </c>
      <c r="G46" s="458">
        <f t="shared" si="2"/>
        <v>10.32</v>
      </c>
      <c r="H46" s="451"/>
    </row>
    <row r="47" spans="1:8" s="452" customFormat="1" ht="22.5">
      <c r="A47" s="460">
        <v>91941</v>
      </c>
      <c r="B47" s="456" t="s">
        <v>76</v>
      </c>
      <c r="C47" s="459" t="s">
        <v>77</v>
      </c>
      <c r="D47" s="456" t="s">
        <v>34</v>
      </c>
      <c r="E47" s="457">
        <v>3</v>
      </c>
      <c r="F47" s="469">
        <v>7.3</v>
      </c>
      <c r="G47" s="458">
        <f t="shared" si="2"/>
        <v>21.9</v>
      </c>
      <c r="H47" s="451"/>
    </row>
    <row r="48" spans="1:8" s="452" customFormat="1" ht="12">
      <c r="A48" s="460">
        <v>83448</v>
      </c>
      <c r="B48" s="456" t="s">
        <v>78</v>
      </c>
      <c r="C48" s="459" t="s">
        <v>79</v>
      </c>
      <c r="D48" s="456" t="s">
        <v>34</v>
      </c>
      <c r="E48" s="457">
        <v>2</v>
      </c>
      <c r="F48" s="469">
        <v>236.97</v>
      </c>
      <c r="G48" s="458">
        <f t="shared" si="2"/>
        <v>473.94</v>
      </c>
      <c r="H48" s="451"/>
    </row>
    <row r="49" spans="1:13" s="452" customFormat="1" ht="12">
      <c r="A49" s="460"/>
      <c r="B49" s="454" t="s">
        <v>80</v>
      </c>
      <c r="C49" s="455" t="s">
        <v>81</v>
      </c>
      <c r="D49" s="456"/>
      <c r="E49" s="457"/>
      <c r="F49" s="469"/>
      <c r="G49" s="458"/>
      <c r="H49" s="451"/>
    </row>
    <row r="50" spans="1:13" s="452" customFormat="1" ht="22.5">
      <c r="A50" s="460">
        <v>91926</v>
      </c>
      <c r="B50" s="456" t="s">
        <v>82</v>
      </c>
      <c r="C50" s="459" t="s">
        <v>83</v>
      </c>
      <c r="D50" s="456" t="s">
        <v>64</v>
      </c>
      <c r="E50" s="457">
        <v>135.30000000000001</v>
      </c>
      <c r="F50" s="469">
        <v>2.82</v>
      </c>
      <c r="G50" s="458">
        <f t="shared" si="2"/>
        <v>381.55</v>
      </c>
      <c r="H50" s="451"/>
    </row>
    <row r="51" spans="1:13" s="452" customFormat="1" ht="22.5">
      <c r="A51" s="460">
        <v>91931</v>
      </c>
      <c r="B51" s="456" t="s">
        <v>84</v>
      </c>
      <c r="C51" s="459" t="s">
        <v>85</v>
      </c>
      <c r="D51" s="456" t="s">
        <v>64</v>
      </c>
      <c r="E51" s="457">
        <v>54.9</v>
      </c>
      <c r="F51" s="469">
        <v>5.0999999999999996</v>
      </c>
      <c r="G51" s="458">
        <f t="shared" si="2"/>
        <v>279.99</v>
      </c>
      <c r="H51" s="451"/>
      <c r="M51" s="471"/>
    </row>
    <row r="52" spans="1:13" s="452" customFormat="1" ht="22.5">
      <c r="A52" s="460">
        <v>92982</v>
      </c>
      <c r="B52" s="456" t="s">
        <v>86</v>
      </c>
      <c r="C52" s="459" t="s">
        <v>87</v>
      </c>
      <c r="D52" s="456" t="s">
        <v>64</v>
      </c>
      <c r="E52" s="457">
        <v>21.2</v>
      </c>
      <c r="F52" s="469">
        <v>7.07</v>
      </c>
      <c r="G52" s="458">
        <f t="shared" si="2"/>
        <v>149.88</v>
      </c>
      <c r="H52" s="451"/>
      <c r="M52" s="471"/>
    </row>
    <row r="53" spans="1:13" s="452" customFormat="1" ht="22.5">
      <c r="A53" s="460">
        <v>92986</v>
      </c>
      <c r="B53" s="456" t="s">
        <v>88</v>
      </c>
      <c r="C53" s="459" t="s">
        <v>89</v>
      </c>
      <c r="D53" s="456" t="s">
        <v>64</v>
      </c>
      <c r="E53" s="457">
        <f>84.8+24.5</f>
        <v>109.3</v>
      </c>
      <c r="F53" s="469">
        <v>16.46</v>
      </c>
      <c r="G53" s="458">
        <f t="shared" si="2"/>
        <v>1799.08</v>
      </c>
      <c r="H53" s="451"/>
    </row>
    <row r="54" spans="1:13" s="452" customFormat="1" ht="12">
      <c r="A54" s="460"/>
      <c r="B54" s="454" t="s">
        <v>80</v>
      </c>
      <c r="C54" s="455" t="s">
        <v>90</v>
      </c>
      <c r="D54" s="456"/>
      <c r="E54" s="457"/>
      <c r="F54" s="469"/>
      <c r="G54" s="458"/>
      <c r="H54" s="451"/>
    </row>
    <row r="55" spans="1:13" s="452" customFormat="1" ht="12">
      <c r="A55" s="460">
        <v>72254</v>
      </c>
      <c r="B55" s="456" t="s">
        <v>91</v>
      </c>
      <c r="C55" s="459" t="s">
        <v>92</v>
      </c>
      <c r="D55" s="456" t="s">
        <v>64</v>
      </c>
      <c r="E55" s="457">
        <v>9.6</v>
      </c>
      <c r="F55" s="469">
        <v>30.47</v>
      </c>
      <c r="G55" s="458">
        <f t="shared" si="2"/>
        <v>292.51</v>
      </c>
      <c r="H55" s="451"/>
    </row>
    <row r="56" spans="1:13" s="452" customFormat="1" ht="33.75">
      <c r="A56" s="460" t="str">
        <f>'PB VIII - Comp. Auxiliares'!A60</f>
        <v>COMP. 08 - DPE</v>
      </c>
      <c r="B56" s="456" t="s">
        <v>93</v>
      </c>
      <c r="C56" s="459" t="s">
        <v>94</v>
      </c>
      <c r="D56" s="456" t="s">
        <v>34</v>
      </c>
      <c r="E56" s="457">
        <v>4</v>
      </c>
      <c r="F56" s="469">
        <f>'PB VIII - Comp. Auxiliares'!F66</f>
        <v>36.489999999999995</v>
      </c>
      <c r="G56" s="458">
        <f t="shared" si="2"/>
        <v>145.96</v>
      </c>
      <c r="H56" s="451"/>
    </row>
    <row r="57" spans="1:13" s="452" customFormat="1" ht="22.5">
      <c r="A57" s="460" t="str">
        <f>'PB VIII - Comp. Auxiliares'!A68</f>
        <v>COMP. 09 - DPE</v>
      </c>
      <c r="B57" s="456" t="s">
        <v>95</v>
      </c>
      <c r="C57" s="459" t="s">
        <v>96</v>
      </c>
      <c r="D57" s="456" t="s">
        <v>34</v>
      </c>
      <c r="E57" s="457">
        <v>3</v>
      </c>
      <c r="F57" s="469">
        <f>'PB VIII - Comp. Auxiliares'!F72</f>
        <v>90.49</v>
      </c>
      <c r="G57" s="458">
        <f t="shared" si="2"/>
        <v>271.47000000000003</v>
      </c>
      <c r="H57" s="451"/>
    </row>
    <row r="58" spans="1:13" s="452" customFormat="1" ht="12">
      <c r="A58" s="460"/>
      <c r="B58" s="454" t="s">
        <v>97</v>
      </c>
      <c r="C58" s="455" t="s">
        <v>98</v>
      </c>
      <c r="D58" s="456"/>
      <c r="E58" s="457"/>
      <c r="F58" s="469"/>
      <c r="G58" s="458"/>
      <c r="H58" s="451"/>
    </row>
    <row r="59" spans="1:13" s="452" customFormat="1" ht="22.5">
      <c r="A59" s="460">
        <v>93653</v>
      </c>
      <c r="B59" s="456" t="s">
        <v>99</v>
      </c>
      <c r="C59" s="459" t="s">
        <v>100</v>
      </c>
      <c r="D59" s="456" t="s">
        <v>34</v>
      </c>
      <c r="E59" s="457">
        <v>5</v>
      </c>
      <c r="F59" s="469">
        <v>7.94</v>
      </c>
      <c r="G59" s="458">
        <f t="shared" si="2"/>
        <v>39.700000000000003</v>
      </c>
      <c r="H59" s="451"/>
    </row>
    <row r="60" spans="1:13" s="452" customFormat="1" ht="22.5">
      <c r="A60" s="460">
        <v>93654</v>
      </c>
      <c r="B60" s="456" t="s">
        <v>101</v>
      </c>
      <c r="C60" s="459" t="s">
        <v>102</v>
      </c>
      <c r="D60" s="456" t="s">
        <v>34</v>
      </c>
      <c r="E60" s="457">
        <v>4</v>
      </c>
      <c r="F60" s="469">
        <v>8.43</v>
      </c>
      <c r="G60" s="458">
        <f t="shared" si="2"/>
        <v>33.72</v>
      </c>
      <c r="H60" s="451"/>
    </row>
    <row r="61" spans="1:13" s="452" customFormat="1" ht="22.5">
      <c r="A61" s="460">
        <v>93660</v>
      </c>
      <c r="B61" s="456" t="s">
        <v>103</v>
      </c>
      <c r="C61" s="459" t="s">
        <v>104</v>
      </c>
      <c r="D61" s="456" t="s">
        <v>34</v>
      </c>
      <c r="E61" s="457">
        <v>2</v>
      </c>
      <c r="F61" s="469">
        <v>39.270000000000003</v>
      </c>
      <c r="G61" s="458">
        <f t="shared" si="2"/>
        <v>78.540000000000006</v>
      </c>
      <c r="H61" s="451"/>
    </row>
    <row r="62" spans="1:13" s="452" customFormat="1" ht="22.5">
      <c r="A62" s="460">
        <v>93661</v>
      </c>
      <c r="B62" s="456" t="s">
        <v>105</v>
      </c>
      <c r="C62" s="459" t="s">
        <v>106</v>
      </c>
      <c r="D62" s="456" t="s">
        <v>34</v>
      </c>
      <c r="E62" s="457">
        <v>6</v>
      </c>
      <c r="F62" s="469">
        <v>40.24</v>
      </c>
      <c r="G62" s="458">
        <f t="shared" si="2"/>
        <v>241.44</v>
      </c>
      <c r="H62" s="451"/>
    </row>
    <row r="63" spans="1:13" s="452" customFormat="1" ht="22.5">
      <c r="A63" s="460">
        <v>93663</v>
      </c>
      <c r="B63" s="456" t="s">
        <v>107</v>
      </c>
      <c r="C63" s="459" t="s">
        <v>108</v>
      </c>
      <c r="D63" s="456" t="s">
        <v>34</v>
      </c>
      <c r="E63" s="457">
        <v>2</v>
      </c>
      <c r="F63" s="469">
        <v>41.89</v>
      </c>
      <c r="G63" s="458">
        <f t="shared" si="2"/>
        <v>83.78</v>
      </c>
      <c r="H63" s="451"/>
    </row>
    <row r="64" spans="1:13" s="452" customFormat="1" ht="22.5">
      <c r="A64" s="460">
        <v>93669</v>
      </c>
      <c r="B64" s="456" t="s">
        <v>109</v>
      </c>
      <c r="C64" s="459" t="s">
        <v>110</v>
      </c>
      <c r="D64" s="456" t="s">
        <v>34</v>
      </c>
      <c r="E64" s="457">
        <v>1</v>
      </c>
      <c r="F64" s="469">
        <v>52.95</v>
      </c>
      <c r="G64" s="458">
        <f t="shared" si="2"/>
        <v>52.95</v>
      </c>
      <c r="H64" s="451"/>
    </row>
    <row r="65" spans="1:13" s="452" customFormat="1" ht="22.5">
      <c r="A65" s="460" t="str">
        <f>'PB VIII - Comp. Auxiliares'!A74</f>
        <v>COMP. 10 - DPE</v>
      </c>
      <c r="B65" s="456" t="s">
        <v>111</v>
      </c>
      <c r="C65" s="459" t="s">
        <v>112</v>
      </c>
      <c r="D65" s="456" t="s">
        <v>34</v>
      </c>
      <c r="E65" s="457">
        <v>1</v>
      </c>
      <c r="F65" s="469">
        <f>'PB VIII - Comp. Auxiliares'!F80</f>
        <v>120.18</v>
      </c>
      <c r="G65" s="458">
        <f t="shared" si="2"/>
        <v>120.18</v>
      </c>
      <c r="H65" s="451"/>
    </row>
    <row r="66" spans="1:13" s="452" customFormat="1" ht="22.5">
      <c r="A66" s="460" t="str">
        <f>'PB VIII - Comp. Auxiliares'!A82</f>
        <v>COMP. 11 - DPE</v>
      </c>
      <c r="B66" s="456" t="s">
        <v>113</v>
      </c>
      <c r="C66" s="459" t="str">
        <f>'PB VIII - Comp. Auxiliares'!B82</f>
        <v>Dispositivo DR, bipolar, corrente nominal de 63A, 30mA - fornecimento e instalação.</v>
      </c>
      <c r="D66" s="456" t="s">
        <v>34</v>
      </c>
      <c r="E66" s="457">
        <v>1</v>
      </c>
      <c r="F66" s="469">
        <f>'PB VIII - Comp. Auxiliares'!F88</f>
        <v>116.35</v>
      </c>
      <c r="G66" s="458">
        <f t="shared" si="2"/>
        <v>116.35</v>
      </c>
      <c r="H66" s="451"/>
    </row>
    <row r="67" spans="1:13" s="452" customFormat="1" ht="22.5">
      <c r="A67" s="460" t="str">
        <f>'PB VIII - Comp. Auxiliares'!A90</f>
        <v>COMP. 12 - DPE</v>
      </c>
      <c r="B67" s="456" t="s">
        <v>114</v>
      </c>
      <c r="C67" s="459" t="s">
        <v>115</v>
      </c>
      <c r="D67" s="456" t="s">
        <v>34</v>
      </c>
      <c r="E67" s="457">
        <v>1</v>
      </c>
      <c r="F67" s="469">
        <f>'PB VIII - Comp. Auxiliares'!F96</f>
        <v>109.53</v>
      </c>
      <c r="G67" s="458">
        <f t="shared" si="2"/>
        <v>109.53</v>
      </c>
      <c r="H67" s="451"/>
    </row>
    <row r="68" spans="1:13" s="452" customFormat="1" ht="22.5">
      <c r="A68" s="460" t="str">
        <f>'PB VIII - Comp. Auxiliares'!A98</f>
        <v>COMP. 13 - DPE</v>
      </c>
      <c r="B68" s="456" t="s">
        <v>116</v>
      </c>
      <c r="C68" s="459" t="s">
        <v>117</v>
      </c>
      <c r="D68" s="456" t="s">
        <v>34</v>
      </c>
      <c r="E68" s="457">
        <v>4</v>
      </c>
      <c r="F68" s="469">
        <f>'PB VIII - Comp. Auxiliares'!F105</f>
        <v>72.62</v>
      </c>
      <c r="G68" s="458">
        <f t="shared" si="2"/>
        <v>290.48</v>
      </c>
      <c r="H68" s="451"/>
    </row>
    <row r="69" spans="1:13" s="452" customFormat="1" ht="22.5">
      <c r="A69" s="460" t="str">
        <f>'PB VIII - Comp. Auxiliares'!A107</f>
        <v>COMP. 14 - DPE</v>
      </c>
      <c r="B69" s="456" t="s">
        <v>118</v>
      </c>
      <c r="C69" s="459" t="str">
        <f>'PB VIII - Comp. Auxiliares'!B107</f>
        <v>Adequação da entrada de energia elétrica aérea trifásica 100 A , inclusive cabeamento, caixa de proteção para medidor e aterramento.</v>
      </c>
      <c r="D69" s="456" t="s">
        <v>34</v>
      </c>
      <c r="E69" s="457">
        <v>1</v>
      </c>
      <c r="F69" s="469">
        <f>'PB VIII - Comp. Auxiliares'!F117</f>
        <v>965.6400000000001</v>
      </c>
      <c r="G69" s="458">
        <f t="shared" si="2"/>
        <v>965.64</v>
      </c>
      <c r="H69" s="451"/>
    </row>
    <row r="70" spans="1:13" s="452" customFormat="1" ht="12">
      <c r="A70" s="460"/>
      <c r="B70" s="456"/>
      <c r="C70" s="459"/>
      <c r="D70" s="456"/>
      <c r="E70" s="457"/>
      <c r="F70" s="469"/>
      <c r="G70" s="458"/>
      <c r="H70" s="451"/>
    </row>
    <row r="71" spans="1:13" s="452" customFormat="1" ht="12">
      <c r="A71" s="472"/>
      <c r="B71" s="473">
        <v>5</v>
      </c>
      <c r="C71" s="474" t="s">
        <v>119</v>
      </c>
      <c r="D71" s="473"/>
      <c r="E71" s="475"/>
      <c r="F71" s="476"/>
      <c r="G71" s="441">
        <f>SUM(G72:G86)</f>
        <v>1911.63</v>
      </c>
      <c r="H71" s="451"/>
    </row>
    <row r="72" spans="1:13" s="452" customFormat="1" ht="12">
      <c r="A72" s="460">
        <v>90456</v>
      </c>
      <c r="B72" s="456" t="s">
        <v>120</v>
      </c>
      <c r="C72" s="459" t="s">
        <v>75</v>
      </c>
      <c r="D72" s="456" t="s">
        <v>34</v>
      </c>
      <c r="E72" s="457">
        <v>6</v>
      </c>
      <c r="F72" s="462">
        <v>3.44</v>
      </c>
      <c r="G72" s="458">
        <f t="shared" ref="G72:G76" si="3">ROUND(E72*F72,2)</f>
        <v>20.64</v>
      </c>
      <c r="H72" s="451"/>
    </row>
    <row r="73" spans="1:13" s="452" customFormat="1" ht="22.5">
      <c r="A73" s="460">
        <v>91941</v>
      </c>
      <c r="B73" s="456" t="s">
        <v>121</v>
      </c>
      <c r="C73" s="459" t="s">
        <v>77</v>
      </c>
      <c r="D73" s="456" t="s">
        <v>34</v>
      </c>
      <c r="E73" s="457">
        <v>6</v>
      </c>
      <c r="F73" s="477">
        <v>7.3</v>
      </c>
      <c r="G73" s="458">
        <f t="shared" si="3"/>
        <v>43.8</v>
      </c>
      <c r="H73" s="451"/>
    </row>
    <row r="74" spans="1:13" s="452" customFormat="1" ht="22.5">
      <c r="A74" s="460" t="str">
        <f>'PB VIII - Comp. Auxiliares'!A119</f>
        <v>COMP. 15 - DPE</v>
      </c>
      <c r="B74" s="456" t="s">
        <v>122</v>
      </c>
      <c r="C74" s="459" t="s">
        <v>123</v>
      </c>
      <c r="D74" s="456" t="s">
        <v>34</v>
      </c>
      <c r="E74" s="457">
        <v>2</v>
      </c>
      <c r="F74" s="469">
        <f>'PB VIII - Comp. Auxiliares'!F123</f>
        <v>41.63</v>
      </c>
      <c r="G74" s="458">
        <f t="shared" si="3"/>
        <v>83.26</v>
      </c>
      <c r="H74" s="451"/>
    </row>
    <row r="75" spans="1:13" s="452" customFormat="1" ht="22.5">
      <c r="A75" s="460" t="str">
        <f>'PB VIII - Comp. Auxiliares'!A125</f>
        <v>COMP. 16- DPE</v>
      </c>
      <c r="B75" s="456" t="s">
        <v>124</v>
      </c>
      <c r="C75" s="459" t="s">
        <v>125</v>
      </c>
      <c r="D75" s="456" t="s">
        <v>34</v>
      </c>
      <c r="E75" s="457">
        <v>2</v>
      </c>
      <c r="F75" s="469">
        <f>'PB VIII - Comp. Auxiliares'!F129</f>
        <v>62.84</v>
      </c>
      <c r="G75" s="458">
        <f t="shared" si="3"/>
        <v>125.68</v>
      </c>
      <c r="H75" s="451"/>
    </row>
    <row r="76" spans="1:13" s="452" customFormat="1" ht="22.5">
      <c r="A76" s="478" t="str">
        <f>'PB VIII - Comp. Auxiliares'!A131</f>
        <v>COMP. 17 - DPE</v>
      </c>
      <c r="B76" s="456" t="s">
        <v>126</v>
      </c>
      <c r="C76" s="479" t="str">
        <f>'PB VIII - Comp. Auxiliares'!B131</f>
        <v xml:space="preserve">Tomada baixa de embutir (4 módulos), RJ-45 Cat5e, incluindo suporte e placa (4" x 4") - fornecimento e instalação. </v>
      </c>
      <c r="D76" s="470" t="s">
        <v>34</v>
      </c>
      <c r="E76" s="480">
        <v>2</v>
      </c>
      <c r="F76" s="481">
        <f>'PB VIII - Comp. Auxiliares'!F135</f>
        <v>81.48</v>
      </c>
      <c r="G76" s="482">
        <f t="shared" si="3"/>
        <v>162.96</v>
      </c>
      <c r="H76" s="451"/>
      <c r="M76" s="471"/>
    </row>
    <row r="77" spans="1:13" s="452" customFormat="1" ht="22.5">
      <c r="A77" s="460" t="str">
        <f>'PB VIII - Comp. Auxiliares'!A137</f>
        <v>COMP. 18 - DPE</v>
      </c>
      <c r="B77" s="456" t="s">
        <v>127</v>
      </c>
      <c r="C77" s="459" t="s">
        <v>128</v>
      </c>
      <c r="D77" s="456" t="s">
        <v>129</v>
      </c>
      <c r="E77" s="457">
        <v>39.9</v>
      </c>
      <c r="F77" s="469">
        <f>'PB VIII - Comp. Auxiliares'!F143</f>
        <v>11.34</v>
      </c>
      <c r="G77" s="458">
        <f t="shared" ref="G77:G86" si="4">ROUND(E77*F77,2)</f>
        <v>452.47</v>
      </c>
      <c r="H77" s="451"/>
    </row>
    <row r="78" spans="1:13" s="452" customFormat="1" ht="22.5">
      <c r="A78" s="460" t="str">
        <f>'PB VIII - Comp. Auxiliares'!A145</f>
        <v>COMP. 19 - DPE</v>
      </c>
      <c r="B78" s="456" t="s">
        <v>130</v>
      </c>
      <c r="C78" s="459" t="s">
        <v>131</v>
      </c>
      <c r="D78" s="456" t="s">
        <v>34</v>
      </c>
      <c r="E78" s="457">
        <v>2</v>
      </c>
      <c r="F78" s="469">
        <f>'PB VIII - Comp. Auxiliares'!F154</f>
        <v>35.130000000000003</v>
      </c>
      <c r="G78" s="458">
        <f t="shared" si="4"/>
        <v>70.260000000000005</v>
      </c>
      <c r="H78" s="451"/>
    </row>
    <row r="79" spans="1:13" s="452" customFormat="1" ht="22.5">
      <c r="A79" s="460" t="str">
        <f>'PB VIII - Comp. Auxiliares'!A157</f>
        <v>COMP. 20 - DPE</v>
      </c>
      <c r="B79" s="456" t="s">
        <v>132</v>
      </c>
      <c r="C79" s="459" t="s">
        <v>133</v>
      </c>
      <c r="D79" s="456" t="s">
        <v>34</v>
      </c>
      <c r="E79" s="457">
        <v>9</v>
      </c>
      <c r="F79" s="469">
        <f>'PB VIII - Comp. Auxiliares'!F166</f>
        <v>27.300000000000004</v>
      </c>
      <c r="G79" s="458">
        <f t="shared" si="4"/>
        <v>245.7</v>
      </c>
      <c r="H79" s="451"/>
    </row>
    <row r="80" spans="1:13" s="452" customFormat="1" ht="22.5">
      <c r="A80" s="460" t="str">
        <f>'PB VIII - Comp. Auxiliares'!A168</f>
        <v>COMP. 21 - DPE</v>
      </c>
      <c r="B80" s="456" t="s">
        <v>134</v>
      </c>
      <c r="C80" s="459" t="s">
        <v>135</v>
      </c>
      <c r="D80" s="456" t="s">
        <v>34</v>
      </c>
      <c r="E80" s="457">
        <v>3</v>
      </c>
      <c r="F80" s="446">
        <f>'PB VIII - Comp. Auxiliares'!F174</f>
        <v>19.72</v>
      </c>
      <c r="G80" s="458">
        <f t="shared" si="4"/>
        <v>59.16</v>
      </c>
      <c r="H80" s="451"/>
    </row>
    <row r="81" spans="1:8" s="452" customFormat="1" ht="22.5">
      <c r="A81" s="460" t="str">
        <f>'PB VIII - Comp. Auxiliares'!A176</f>
        <v>COMP. 22 - DPE</v>
      </c>
      <c r="B81" s="456" t="s">
        <v>136</v>
      </c>
      <c r="C81" s="459" t="s">
        <v>137</v>
      </c>
      <c r="D81" s="456" t="s">
        <v>34</v>
      </c>
      <c r="E81" s="457">
        <v>4</v>
      </c>
      <c r="F81" s="469">
        <f>'PB VIII - Comp. Auxiliares'!F181</f>
        <v>7.2299999999999995</v>
      </c>
      <c r="G81" s="458">
        <f t="shared" si="4"/>
        <v>28.92</v>
      </c>
      <c r="H81" s="451"/>
    </row>
    <row r="82" spans="1:8" s="452" customFormat="1" ht="22.5">
      <c r="A82" s="460" t="str">
        <f>'PB VIII - Comp. Auxiliares'!A183</f>
        <v>COMP. 23 - DPE</v>
      </c>
      <c r="B82" s="456" t="s">
        <v>138</v>
      </c>
      <c r="C82" s="459" t="s">
        <v>139</v>
      </c>
      <c r="D82" s="456" t="s">
        <v>34</v>
      </c>
      <c r="E82" s="457">
        <v>7</v>
      </c>
      <c r="F82" s="469">
        <f>'PB VIII - Comp. Auxiliares'!F188</f>
        <v>7.2099999999999991</v>
      </c>
      <c r="G82" s="458">
        <f t="shared" si="4"/>
        <v>50.47</v>
      </c>
      <c r="H82" s="451"/>
    </row>
    <row r="83" spans="1:8" s="452" customFormat="1" ht="22.5">
      <c r="A83" s="460">
        <v>90447</v>
      </c>
      <c r="B83" s="456" t="s">
        <v>140</v>
      </c>
      <c r="C83" s="459" t="s">
        <v>63</v>
      </c>
      <c r="D83" s="456" t="s">
        <v>64</v>
      </c>
      <c r="E83" s="457">
        <v>15.6</v>
      </c>
      <c r="F83" s="462">
        <v>5.21</v>
      </c>
      <c r="G83" s="458">
        <f t="shared" si="4"/>
        <v>81.28</v>
      </c>
      <c r="H83" s="451"/>
    </row>
    <row r="84" spans="1:8" s="452" customFormat="1" ht="22.5">
      <c r="A84" s="460">
        <v>90466</v>
      </c>
      <c r="B84" s="456" t="s">
        <v>141</v>
      </c>
      <c r="C84" s="459" t="s">
        <v>66</v>
      </c>
      <c r="D84" s="456" t="s">
        <v>64</v>
      </c>
      <c r="E84" s="457">
        <v>15.6</v>
      </c>
      <c r="F84" s="462">
        <v>10.66</v>
      </c>
      <c r="G84" s="458">
        <f t="shared" si="4"/>
        <v>166.3</v>
      </c>
      <c r="H84" s="451"/>
    </row>
    <row r="85" spans="1:8" s="452" customFormat="1" ht="22.5">
      <c r="A85" s="460">
        <v>95745</v>
      </c>
      <c r="B85" s="456" t="s">
        <v>142</v>
      </c>
      <c r="C85" s="459" t="s">
        <v>143</v>
      </c>
      <c r="D85" s="456" t="s">
        <v>64</v>
      </c>
      <c r="E85" s="457">
        <v>15.6</v>
      </c>
      <c r="F85" s="462">
        <v>14.84</v>
      </c>
      <c r="G85" s="458">
        <f t="shared" si="4"/>
        <v>231.5</v>
      </c>
      <c r="H85" s="451"/>
    </row>
    <row r="86" spans="1:8" s="452" customFormat="1" ht="12">
      <c r="A86" s="460">
        <v>93009</v>
      </c>
      <c r="B86" s="456" t="s">
        <v>144</v>
      </c>
      <c r="C86" s="459" t="s">
        <v>145</v>
      </c>
      <c r="D86" s="456" t="s">
        <v>64</v>
      </c>
      <c r="E86" s="457">
        <v>6.6</v>
      </c>
      <c r="F86" s="462">
        <v>13.52</v>
      </c>
      <c r="G86" s="458">
        <f t="shared" si="4"/>
        <v>89.23</v>
      </c>
      <c r="H86" s="451"/>
    </row>
    <row r="87" spans="1:8" s="452" customFormat="1" ht="12">
      <c r="A87" s="460"/>
      <c r="B87" s="456"/>
      <c r="C87" s="459"/>
      <c r="D87" s="456"/>
      <c r="E87" s="457"/>
      <c r="F87" s="462"/>
      <c r="G87" s="458"/>
      <c r="H87" s="451"/>
    </row>
    <row r="88" spans="1:8" s="452" customFormat="1" ht="12">
      <c r="A88" s="437"/>
      <c r="B88" s="432">
        <v>6</v>
      </c>
      <c r="C88" s="438" t="s">
        <v>146</v>
      </c>
      <c r="D88" s="439"/>
      <c r="E88" s="453"/>
      <c r="F88" s="453"/>
      <c r="G88" s="441">
        <f>SUM(G89:G90)</f>
        <v>2321.2800000000002</v>
      </c>
      <c r="H88" s="451"/>
    </row>
    <row r="89" spans="1:8" s="452" customFormat="1" ht="22.5">
      <c r="A89" s="442" t="str">
        <f>'PB VIII - Comp. Auxiliares'!A190</f>
        <v>COMP. 24 - DPE</v>
      </c>
      <c r="B89" s="445" t="s">
        <v>147</v>
      </c>
      <c r="C89" s="461" t="s">
        <v>148</v>
      </c>
      <c r="D89" s="445" t="s">
        <v>18</v>
      </c>
      <c r="E89" s="447">
        <f>'PB VI - MEMÓRIA DE CÁLCULO'!G65</f>
        <v>7.06</v>
      </c>
      <c r="F89" s="469">
        <f>'PB VIII - Comp. Auxiliares'!F196</f>
        <v>193.44</v>
      </c>
      <c r="G89" s="448">
        <f>ROUND(E89*F89,2)</f>
        <v>1365.69</v>
      </c>
      <c r="H89" s="451"/>
    </row>
    <row r="90" spans="1:8" s="452" customFormat="1" ht="22.5">
      <c r="A90" s="442" t="str">
        <f>'PB VIII - Comp. Auxiliares'!A190</f>
        <v>COMP. 24 - DPE</v>
      </c>
      <c r="B90" s="445" t="s">
        <v>149</v>
      </c>
      <c r="C90" s="461" t="s">
        <v>150</v>
      </c>
      <c r="D90" s="445" t="s">
        <v>18</v>
      </c>
      <c r="E90" s="447">
        <f>'PB VI - MEMÓRIA DE CÁLCULO'!G66</f>
        <v>4.9400000000000004</v>
      </c>
      <c r="F90" s="469">
        <f>'PB VIII - Comp. Auxiliares'!F196</f>
        <v>193.44</v>
      </c>
      <c r="G90" s="448">
        <f>ROUND(E90*F90,2)</f>
        <v>955.59</v>
      </c>
      <c r="H90" s="451"/>
    </row>
    <row r="91" spans="1:8" s="452" customFormat="1" ht="12">
      <c r="A91" s="460"/>
      <c r="B91" s="456"/>
      <c r="C91" s="459"/>
      <c r="D91" s="456"/>
      <c r="E91" s="457"/>
      <c r="F91" s="462"/>
      <c r="G91" s="458"/>
      <c r="H91" s="451"/>
    </row>
    <row r="92" spans="1:8" s="452" customFormat="1" ht="11.25" customHeight="1">
      <c r="A92" s="437"/>
      <c r="B92" s="432">
        <v>7</v>
      </c>
      <c r="C92" s="438" t="s">
        <v>151</v>
      </c>
      <c r="D92" s="439"/>
      <c r="E92" s="453"/>
      <c r="F92" s="453"/>
      <c r="G92" s="441">
        <f>SUM(G93:G100)</f>
        <v>16269.89</v>
      </c>
      <c r="H92" s="435"/>
    </row>
    <row r="93" spans="1:8" s="452" customFormat="1" ht="15.95" customHeight="1">
      <c r="A93" s="460" t="s">
        <v>152</v>
      </c>
      <c r="B93" s="456" t="s">
        <v>153</v>
      </c>
      <c r="C93" s="459" t="s">
        <v>154</v>
      </c>
      <c r="D93" s="456" t="s">
        <v>18</v>
      </c>
      <c r="E93" s="447">
        <f>'PB VI - MEMÓRIA DE CÁLCULO'!G9</f>
        <v>231.3</v>
      </c>
      <c r="F93" s="462">
        <v>18.940000000000001</v>
      </c>
      <c r="G93" s="458">
        <f t="shared" ref="G93:G100" si="5">ROUND(E93*F93,2)</f>
        <v>4380.82</v>
      </c>
      <c r="H93" s="451"/>
    </row>
    <row r="94" spans="1:8" s="452" customFormat="1" ht="15.95" customHeight="1">
      <c r="A94" s="460">
        <v>84125</v>
      </c>
      <c r="B94" s="456" t="s">
        <v>155</v>
      </c>
      <c r="C94" s="459" t="s">
        <v>156</v>
      </c>
      <c r="D94" s="456" t="s">
        <v>18</v>
      </c>
      <c r="E94" s="447">
        <f>'PB VI - MEMÓRIA DE CÁLCULO'!G84</f>
        <v>190.64</v>
      </c>
      <c r="F94" s="462">
        <v>6.82</v>
      </c>
      <c r="G94" s="458">
        <f t="shared" si="5"/>
        <v>1300.1600000000001</v>
      </c>
      <c r="H94" s="451"/>
    </row>
    <row r="95" spans="1:8" s="452" customFormat="1" ht="45">
      <c r="A95" s="442" t="str">
        <f>'PB VII - Cotações'!A74</f>
        <v>COTAÇÃO 017</v>
      </c>
      <c r="B95" s="456" t="s">
        <v>157</v>
      </c>
      <c r="C95" s="449" t="s">
        <v>158</v>
      </c>
      <c r="D95" s="445" t="s">
        <v>34</v>
      </c>
      <c r="E95" s="447">
        <v>1</v>
      </c>
      <c r="F95" s="450">
        <f>'PB VII - Cotações'!F76</f>
        <v>8750.42</v>
      </c>
      <c r="G95" s="458">
        <f t="shared" si="5"/>
        <v>8750.42</v>
      </c>
      <c r="H95" s="451"/>
    </row>
    <row r="96" spans="1:8" s="452" customFormat="1" ht="12">
      <c r="A96" s="442">
        <v>88316</v>
      </c>
      <c r="B96" s="445" t="s">
        <v>159</v>
      </c>
      <c r="C96" s="449" t="s">
        <v>160</v>
      </c>
      <c r="D96" s="445" t="s">
        <v>34</v>
      </c>
      <c r="E96" s="447">
        <v>2</v>
      </c>
      <c r="F96" s="483">
        <v>14.55</v>
      </c>
      <c r="G96" s="448">
        <f t="shared" si="5"/>
        <v>29.1</v>
      </c>
      <c r="H96" s="451"/>
    </row>
    <row r="97" spans="1:10" s="452" customFormat="1" ht="22.5">
      <c r="A97" s="442" t="str">
        <f>'PB VII - Cotações'!A78</f>
        <v>COTAÇÃO 018</v>
      </c>
      <c r="B97" s="445" t="s">
        <v>161</v>
      </c>
      <c r="C97" s="449" t="s">
        <v>162</v>
      </c>
      <c r="D97" s="445" t="s">
        <v>34</v>
      </c>
      <c r="E97" s="446">
        <v>1</v>
      </c>
      <c r="F97" s="446">
        <f>'PB VII - Cotações'!F80</f>
        <v>1000</v>
      </c>
      <c r="G97" s="448">
        <f t="shared" si="5"/>
        <v>1000</v>
      </c>
      <c r="H97" s="451"/>
    </row>
    <row r="98" spans="1:10" s="452" customFormat="1" ht="12">
      <c r="A98" s="460" t="s">
        <v>163</v>
      </c>
      <c r="B98" s="456" t="s">
        <v>164</v>
      </c>
      <c r="C98" s="459" t="s">
        <v>165</v>
      </c>
      <c r="D98" s="456" t="s">
        <v>18</v>
      </c>
      <c r="E98" s="484">
        <f>'PB VI - MEMÓRIA DE CÁLCULO'!G87</f>
        <v>7.2799999999999994</v>
      </c>
      <c r="F98" s="469">
        <v>21.82</v>
      </c>
      <c r="G98" s="458">
        <f t="shared" si="5"/>
        <v>158.85</v>
      </c>
      <c r="H98" s="451"/>
    </row>
    <row r="99" spans="1:10" s="452" customFormat="1" ht="12">
      <c r="A99" s="460">
        <v>83731</v>
      </c>
      <c r="B99" s="456" t="s">
        <v>166</v>
      </c>
      <c r="C99" s="459" t="s">
        <v>167</v>
      </c>
      <c r="D99" s="456" t="s">
        <v>18</v>
      </c>
      <c r="E99" s="484">
        <f>'PB VI - MEMÓRIA DE CÁLCULO'!G88</f>
        <v>7.2799999999999994</v>
      </c>
      <c r="F99" s="469">
        <v>44.41</v>
      </c>
      <c r="G99" s="458">
        <f t="shared" si="5"/>
        <v>323.3</v>
      </c>
      <c r="H99" s="451"/>
    </row>
    <row r="100" spans="1:10" s="452" customFormat="1" ht="12">
      <c r="A100" s="460">
        <v>87249</v>
      </c>
      <c r="B100" s="456" t="s">
        <v>168</v>
      </c>
      <c r="C100" s="459" t="s">
        <v>169</v>
      </c>
      <c r="D100" s="456" t="s">
        <v>18</v>
      </c>
      <c r="E100" s="484">
        <f>'PB VI - MEMÓRIA DE CÁLCULO'!G89</f>
        <v>7.2799999999999994</v>
      </c>
      <c r="F100" s="469">
        <v>44.95</v>
      </c>
      <c r="G100" s="458">
        <f t="shared" si="5"/>
        <v>327.24</v>
      </c>
      <c r="H100" s="451"/>
    </row>
    <row r="101" spans="1:10" s="452" customFormat="1" ht="12">
      <c r="A101" s="460"/>
      <c r="B101" s="456"/>
      <c r="C101" s="459"/>
      <c r="D101" s="456"/>
      <c r="E101" s="484"/>
      <c r="F101" s="469"/>
      <c r="G101" s="458"/>
      <c r="H101" s="451"/>
    </row>
    <row r="102" spans="1:10" s="452" customFormat="1" ht="12">
      <c r="A102" s="485"/>
      <c r="B102" s="486">
        <v>8</v>
      </c>
      <c r="C102" s="487" t="s">
        <v>170</v>
      </c>
      <c r="D102" s="485"/>
      <c r="E102" s="488"/>
      <c r="F102" s="488"/>
      <c r="G102" s="489">
        <f>SUM(G103:G108)</f>
        <v>1386.0700000000002</v>
      </c>
      <c r="H102" s="451"/>
    </row>
    <row r="103" spans="1:10" s="452" customFormat="1" ht="12">
      <c r="A103" s="445">
        <v>89168</v>
      </c>
      <c r="B103" s="445" t="s">
        <v>171</v>
      </c>
      <c r="C103" s="449" t="s">
        <v>172</v>
      </c>
      <c r="D103" s="445" t="s">
        <v>18</v>
      </c>
      <c r="E103" s="447">
        <f>'PB VI - MEMÓRIA DE CÁLCULO'!F70</f>
        <v>11.5</v>
      </c>
      <c r="F103" s="490">
        <v>63.16</v>
      </c>
      <c r="G103" s="448">
        <f>ROUND(E103*F103,2)</f>
        <v>726.34</v>
      </c>
      <c r="H103" s="451"/>
    </row>
    <row r="104" spans="1:10" s="452" customFormat="1" ht="12">
      <c r="A104" s="445">
        <v>95241</v>
      </c>
      <c r="B104" s="445" t="s">
        <v>173</v>
      </c>
      <c r="C104" s="449" t="s">
        <v>174</v>
      </c>
      <c r="D104" s="445" t="s">
        <v>18</v>
      </c>
      <c r="E104" s="447">
        <f>'PB VI - MEMÓRIA DE CÁLCULO'!F71</f>
        <v>1</v>
      </c>
      <c r="F104" s="490">
        <v>22.65</v>
      </c>
      <c r="G104" s="448">
        <f t="shared" ref="G104:G108" si="6">ROUND(E104*F104,2)</f>
        <v>22.65</v>
      </c>
      <c r="H104" s="451"/>
    </row>
    <row r="105" spans="1:10" s="452" customFormat="1" ht="12">
      <c r="A105" s="445">
        <v>92544</v>
      </c>
      <c r="B105" s="445" t="s">
        <v>175</v>
      </c>
      <c r="C105" s="449" t="s">
        <v>176</v>
      </c>
      <c r="D105" s="445" t="s">
        <v>18</v>
      </c>
      <c r="E105" s="447">
        <f>'PB VI - MEMÓRIA DE CÁLCULO'!F72</f>
        <v>2.25</v>
      </c>
      <c r="F105" s="490">
        <v>9.68</v>
      </c>
      <c r="G105" s="448">
        <f t="shared" si="6"/>
        <v>21.78</v>
      </c>
      <c r="H105" s="451"/>
    </row>
    <row r="106" spans="1:10" s="452" customFormat="1" ht="12">
      <c r="A106" s="445">
        <v>94207</v>
      </c>
      <c r="B106" s="445" t="s">
        <v>177</v>
      </c>
      <c r="C106" s="449" t="s">
        <v>178</v>
      </c>
      <c r="D106" s="445" t="s">
        <v>18</v>
      </c>
      <c r="E106" s="447">
        <f>'PB VI - MEMÓRIA DE CÁLCULO'!F72</f>
        <v>2.25</v>
      </c>
      <c r="F106" s="490">
        <v>31.19</v>
      </c>
      <c r="G106" s="448">
        <f t="shared" si="6"/>
        <v>70.180000000000007</v>
      </c>
      <c r="H106" s="451"/>
    </row>
    <row r="107" spans="1:10" s="452" customFormat="1" ht="12">
      <c r="A107" s="445">
        <v>94990</v>
      </c>
      <c r="B107" s="445" t="s">
        <v>179</v>
      </c>
      <c r="C107" s="449" t="s">
        <v>180</v>
      </c>
      <c r="D107" s="445" t="s">
        <v>181</v>
      </c>
      <c r="E107" s="447">
        <f>'PB VI - MEMÓRIA DE CÁLCULO'!G73</f>
        <v>0.7</v>
      </c>
      <c r="F107" s="490">
        <v>623.91999999999996</v>
      </c>
      <c r="G107" s="448">
        <f t="shared" si="6"/>
        <v>436.74</v>
      </c>
      <c r="H107" s="451"/>
    </row>
    <row r="108" spans="1:10" s="452" customFormat="1" ht="12">
      <c r="A108" s="445">
        <v>7156</v>
      </c>
      <c r="B108" s="445" t="s">
        <v>182</v>
      </c>
      <c r="C108" s="449" t="s">
        <v>183</v>
      </c>
      <c r="D108" s="445" t="s">
        <v>18</v>
      </c>
      <c r="E108" s="447">
        <f>ROUND('PB VI - MEMÓRIA DE CÁLCULO'!C73*'PB VI - MEMÓRIA DE CÁLCULO'!E73,2)</f>
        <v>4.7</v>
      </c>
      <c r="F108" s="490">
        <v>23.06</v>
      </c>
      <c r="G108" s="448">
        <f t="shared" si="6"/>
        <v>108.38</v>
      </c>
      <c r="H108" s="451"/>
    </row>
    <row r="109" spans="1:10" s="452" customFormat="1" ht="12">
      <c r="A109" s="460"/>
      <c r="B109" s="456"/>
      <c r="C109" s="459"/>
      <c r="D109" s="456"/>
      <c r="E109" s="484"/>
      <c r="F109" s="469"/>
      <c r="G109" s="458"/>
      <c r="H109" s="451"/>
    </row>
    <row r="110" spans="1:10" s="452" customFormat="1" ht="15.95" customHeight="1">
      <c r="A110" s="437"/>
      <c r="B110" s="432">
        <v>9</v>
      </c>
      <c r="C110" s="438" t="s">
        <v>184</v>
      </c>
      <c r="D110" s="432"/>
      <c r="E110" s="491"/>
      <c r="F110" s="491"/>
      <c r="G110" s="441">
        <f>SUM(G111:G112)</f>
        <v>16260.69</v>
      </c>
      <c r="H110" s="435"/>
    </row>
    <row r="111" spans="1:10" ht="22.5">
      <c r="A111" s="442" t="str">
        <f>'PB VIII - Comp. Auxiliares'!A199</f>
        <v>COMP. 25 - DPE</v>
      </c>
      <c r="B111" s="445" t="s">
        <v>185</v>
      </c>
      <c r="C111" s="449" t="s">
        <v>186</v>
      </c>
      <c r="D111" s="492" t="s">
        <v>34</v>
      </c>
      <c r="E111" s="493">
        <v>1</v>
      </c>
      <c r="F111" s="448">
        <f>'PB VIII - Comp. Auxiliares'!F202</f>
        <v>104.11</v>
      </c>
      <c r="G111" s="448">
        <f>ROUND(E111*F111,2)</f>
        <v>104.11</v>
      </c>
      <c r="I111" s="494"/>
      <c r="J111" s="495"/>
    </row>
    <row r="112" spans="1:10" ht="22.5">
      <c r="A112" s="460" t="str">
        <f>'PB VIII - Comp. Auxiliares'!A205</f>
        <v>COMP. 26 - DPE</v>
      </c>
      <c r="B112" s="456" t="s">
        <v>187</v>
      </c>
      <c r="C112" s="459" t="s">
        <v>188</v>
      </c>
      <c r="D112" s="496" t="s">
        <v>34</v>
      </c>
      <c r="E112" s="497">
        <v>1</v>
      </c>
      <c r="F112" s="498">
        <f>'PB VIII - Comp. Auxiliares'!F210</f>
        <v>16156.580000000002</v>
      </c>
      <c r="G112" s="458">
        <f>ROUND(E112*F112,2)</f>
        <v>16156.58</v>
      </c>
      <c r="I112" s="494"/>
      <c r="J112" s="494"/>
    </row>
    <row r="113" spans="1:10" ht="15.95" customHeight="1">
      <c r="A113" s="499"/>
      <c r="B113" s="500"/>
      <c r="C113" s="501"/>
      <c r="D113" s="500"/>
      <c r="E113" s="500"/>
      <c r="F113" s="500"/>
      <c r="G113" s="500"/>
      <c r="H113" s="502"/>
      <c r="I113" s="503"/>
      <c r="J113" s="494"/>
    </row>
    <row r="114" spans="1:10" ht="15.95" customHeight="1">
      <c r="A114" s="504" t="s">
        <v>189</v>
      </c>
      <c r="B114" s="505"/>
      <c r="C114" s="505"/>
      <c r="D114" s="505"/>
      <c r="E114" s="506"/>
      <c r="F114" s="507">
        <f>ROUND(SUM(G11,G15,G92,G110,G22,G31,G71,G88,G102),2)</f>
        <v>71287.31</v>
      </c>
      <c r="G114" s="508"/>
      <c r="H114" s="509">
        <f>SUM(G11:G112)/2</f>
        <v>71287.310000000012</v>
      </c>
      <c r="I114" s="510">
        <f>F114-G110</f>
        <v>55026.619999999995</v>
      </c>
      <c r="J114" s="494"/>
    </row>
    <row r="115" spans="1:10" ht="15.95" customHeight="1">
      <c r="A115" s="504" t="s">
        <v>190</v>
      </c>
      <c r="B115" s="505"/>
      <c r="C115" s="505"/>
      <c r="D115" s="505"/>
      <c r="E115" s="506"/>
      <c r="F115" s="507">
        <f>ROUND(F114*(1+'PB IX.A - BDI'!I23),2)</f>
        <v>89501.22</v>
      </c>
      <c r="G115" s="508"/>
      <c r="H115" s="511">
        <f>F115*10/100</f>
        <v>8950.1219999999994</v>
      </c>
      <c r="I115" s="494"/>
      <c r="J115" s="494"/>
    </row>
    <row r="116" spans="1:10" ht="15.95" customHeight="1">
      <c r="A116" s="499"/>
      <c r="B116" s="500"/>
      <c r="C116" s="501"/>
      <c r="D116" s="500"/>
      <c r="E116" s="500"/>
      <c r="F116" s="500"/>
      <c r="G116" s="500"/>
      <c r="H116" s="511"/>
      <c r="I116" s="494"/>
      <c r="J116" s="494"/>
    </row>
    <row r="117" spans="1:10" ht="15.95" customHeight="1">
      <c r="A117" s="437"/>
      <c r="B117" s="432">
        <v>10</v>
      </c>
      <c r="C117" s="438" t="s">
        <v>191</v>
      </c>
      <c r="D117" s="439"/>
      <c r="E117" s="453"/>
      <c r="F117" s="453"/>
      <c r="G117" s="441">
        <f>G118</f>
        <v>62537</v>
      </c>
      <c r="I117" s="494"/>
      <c r="J117" s="494"/>
    </row>
    <row r="118" spans="1:10" ht="45">
      <c r="A118" s="442" t="str">
        <f>'PB VII - Cotações'!A70</f>
        <v>COTAÇÃO 016</v>
      </c>
      <c r="B118" s="456" t="s">
        <v>192</v>
      </c>
      <c r="C118" s="449" t="s">
        <v>193</v>
      </c>
      <c r="D118" s="445" t="s">
        <v>34</v>
      </c>
      <c r="E118" s="447">
        <v>1</v>
      </c>
      <c r="F118" s="447">
        <f>'PB VII - Cotações'!F72</f>
        <v>62537</v>
      </c>
      <c r="G118" s="512">
        <f>ROUND(E118*F118,2)</f>
        <v>62537</v>
      </c>
      <c r="H118" s="511">
        <f>F114+G118</f>
        <v>133824.31</v>
      </c>
      <c r="I118" s="494"/>
      <c r="J118" s="494"/>
    </row>
    <row r="119" spans="1:10" ht="15.95" customHeight="1">
      <c r="A119" s="504" t="s">
        <v>189</v>
      </c>
      <c r="B119" s="505"/>
      <c r="C119" s="505"/>
      <c r="D119" s="505"/>
      <c r="E119" s="506"/>
      <c r="F119" s="507">
        <f>ROUND(SUM(G118),2)</f>
        <v>62537</v>
      </c>
      <c r="G119" s="508"/>
      <c r="I119" s="494"/>
      <c r="J119" s="494"/>
    </row>
    <row r="120" spans="1:10" ht="15.95" customHeight="1">
      <c r="A120" s="504" t="s">
        <v>194</v>
      </c>
      <c r="B120" s="505"/>
      <c r="C120" s="505"/>
      <c r="D120" s="505"/>
      <c r="E120" s="506"/>
      <c r="F120" s="507">
        <f>ROUND(F119*(1+'PB IX.B - BDI Diferenciado'!I22),2)</f>
        <v>72092.649999999994</v>
      </c>
      <c r="G120" s="508"/>
      <c r="I120" s="494">
        <v>167921.2</v>
      </c>
      <c r="J120" s="494" t="s">
        <v>195</v>
      </c>
    </row>
    <row r="121" spans="1:10" ht="15.95" customHeight="1">
      <c r="A121" s="513"/>
      <c r="B121" s="514"/>
      <c r="C121" s="515"/>
      <c r="D121" s="514"/>
      <c r="E121" s="514"/>
      <c r="F121" s="514"/>
      <c r="G121" s="514"/>
      <c r="I121" s="510">
        <f>I120-F122</f>
        <v>6327.3300000000163</v>
      </c>
      <c r="J121" s="494"/>
    </row>
    <row r="122" spans="1:10" ht="15.95" customHeight="1">
      <c r="A122" s="504" t="s">
        <v>189</v>
      </c>
      <c r="B122" s="505"/>
      <c r="C122" s="505"/>
      <c r="D122" s="505"/>
      <c r="E122" s="506"/>
      <c r="F122" s="507">
        <f>ROUND(SUM(F120+F115),2)</f>
        <v>161593.87</v>
      </c>
      <c r="G122" s="508"/>
      <c r="I122" s="494"/>
      <c r="J122" s="494"/>
    </row>
    <row r="123" spans="1:10" ht="34.5" customHeight="1">
      <c r="A123" s="516" t="s">
        <v>196</v>
      </c>
      <c r="B123" s="517"/>
      <c r="C123" s="517"/>
      <c r="D123" s="517"/>
      <c r="E123" s="517"/>
      <c r="F123" s="517"/>
      <c r="G123" s="518"/>
    </row>
    <row r="124" spans="1:10" ht="15">
      <c r="A124" s="519"/>
      <c r="B124" s="520"/>
      <c r="C124" s="520"/>
      <c r="D124" s="520"/>
      <c r="E124" s="520"/>
      <c r="F124" s="520"/>
      <c r="G124" s="520"/>
    </row>
    <row r="125" spans="1:10" ht="15.95" customHeight="1">
      <c r="A125" s="521"/>
      <c r="B125" s="522"/>
      <c r="C125" s="522"/>
      <c r="D125" s="522"/>
      <c r="E125" s="522"/>
      <c r="F125" s="522"/>
      <c r="G125" s="522"/>
    </row>
    <row r="126" spans="1:10" ht="11.25" customHeight="1">
      <c r="A126" s="523"/>
      <c r="B126" s="524"/>
      <c r="C126" s="524"/>
      <c r="D126" s="524"/>
      <c r="E126" s="524"/>
      <c r="F126" s="524"/>
      <c r="G126" s="524"/>
    </row>
    <row r="127" spans="1:10" ht="15.95" customHeight="1">
      <c r="C127" s="525"/>
      <c r="F127" s="409"/>
      <c r="G127" s="409"/>
    </row>
    <row r="128" spans="1:10" ht="15.95" customHeight="1">
      <c r="C128" s="526"/>
    </row>
    <row r="129" spans="3:3" ht="15.95" customHeight="1">
      <c r="C129" s="525"/>
    </row>
    <row r="130" spans="3:3" ht="15.95" customHeight="1">
      <c r="C130" s="525"/>
    </row>
  </sheetData>
  <mergeCells count="17">
    <mergeCell ref="A2:G2"/>
    <mergeCell ref="A4:G4"/>
    <mergeCell ref="A6:G6"/>
    <mergeCell ref="A8:C8"/>
    <mergeCell ref="D8:G8"/>
    <mergeCell ref="A114:E114"/>
    <mergeCell ref="F114:G114"/>
    <mergeCell ref="A115:E115"/>
    <mergeCell ref="F115:G115"/>
    <mergeCell ref="A119:E119"/>
    <mergeCell ref="F119:G119"/>
    <mergeCell ref="A125:G125"/>
    <mergeCell ref="A120:E120"/>
    <mergeCell ref="F120:G120"/>
    <mergeCell ref="A122:E122"/>
    <mergeCell ref="F122:G122"/>
    <mergeCell ref="A123:G123"/>
  </mergeCells>
  <printOptions horizontalCentered="1"/>
  <pageMargins left="0.39305555555555599" right="0" top="1.5743055555555601" bottom="0.39305555555555599" header="0" footer="0"/>
  <pageSetup paperSize="9" scale="89" orientation="portrait" r:id="rId1"/>
  <headerFooter>
    <oddHeader>&amp;C&amp;9
&amp;15&amp;G&amp;12
DEFENSORIA PÚBLICA DO ESTADO DE RORAIMA
&amp;"Garamond,Itálico"“Amazônia: Patrimônio dos brasileiros”&amp;"-,Regular"&amp;9
____________________________________________________________________________________________________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6A11-11EE-4C06-BBB3-69B75123E38B}">
  <sheetPr>
    <tabColor rgb="FFFF0000"/>
  </sheetPr>
  <dimension ref="B1:L116"/>
  <sheetViews>
    <sheetView view="pageBreakPreview" zoomScale="115" zoomScaleNormal="100" zoomScaleSheetLayoutView="115" workbookViewId="0">
      <selection activeCell="G12" sqref="G12"/>
    </sheetView>
  </sheetViews>
  <sheetFormatPr defaultRowHeight="15"/>
  <cols>
    <col min="2" max="2" width="13.5703125" style="268" customWidth="1"/>
    <col min="3" max="3" width="35.28515625" style="268" customWidth="1"/>
    <col min="4" max="4" width="9.140625" style="269"/>
    <col min="5" max="5" width="9.140625" style="270"/>
    <col min="6" max="7" width="10.5703125" style="268" bestFit="1" customWidth="1"/>
    <col min="8" max="9" width="9.140625" style="268"/>
    <col min="10" max="10" width="3" style="268" customWidth="1"/>
  </cols>
  <sheetData>
    <row r="1" spans="2:12">
      <c r="B1"/>
      <c r="C1"/>
      <c r="D1"/>
      <c r="E1"/>
      <c r="F1"/>
      <c r="G1"/>
      <c r="H1"/>
      <c r="I1"/>
      <c r="J1"/>
    </row>
    <row r="2" spans="2:12">
      <c r="B2" s="280" t="s">
        <v>299</v>
      </c>
      <c r="C2" s="280"/>
      <c r="D2" s="280"/>
      <c r="E2" s="280"/>
      <c r="F2" s="280"/>
      <c r="G2" s="280"/>
      <c r="H2" s="280"/>
      <c r="I2" s="280"/>
      <c r="J2" s="280"/>
      <c r="K2" s="266"/>
    </row>
    <row r="3" spans="2:12">
      <c r="B3" s="150"/>
      <c r="C3" s="151"/>
      <c r="D3" s="150"/>
      <c r="E3" s="150"/>
      <c r="F3" s="150"/>
      <c r="G3" s="150"/>
      <c r="H3" s="152"/>
      <c r="I3" s="152"/>
      <c r="J3" s="152"/>
      <c r="K3" s="152"/>
    </row>
    <row r="4" spans="2:12" ht="27.75" customHeight="1">
      <c r="B4" s="281" t="s">
        <v>1</v>
      </c>
      <c r="C4" s="282"/>
      <c r="D4" s="282"/>
      <c r="E4" s="282"/>
      <c r="F4" s="282"/>
      <c r="G4" s="282"/>
      <c r="H4" s="282"/>
      <c r="I4" s="282"/>
      <c r="J4" s="283"/>
      <c r="K4" s="267"/>
    </row>
    <row r="5" spans="2:12">
      <c r="B5" s="153"/>
      <c r="C5" s="154"/>
      <c r="D5" s="153"/>
      <c r="E5" s="153"/>
      <c r="F5" s="155"/>
      <c r="G5" s="153"/>
      <c r="H5" s="156"/>
      <c r="I5" s="156"/>
      <c r="J5" s="156"/>
      <c r="K5" s="156"/>
    </row>
    <row r="6" spans="2:12" ht="15" customHeight="1">
      <c r="B6" s="284" t="s">
        <v>6</v>
      </c>
      <c r="C6" s="285" t="s">
        <v>7</v>
      </c>
      <c r="D6" s="287" t="s">
        <v>8</v>
      </c>
      <c r="E6" s="289" t="s">
        <v>9</v>
      </c>
      <c r="F6" s="291" t="s">
        <v>300</v>
      </c>
      <c r="G6" s="292"/>
      <c r="H6" s="293" t="s">
        <v>301</v>
      </c>
      <c r="I6" s="293" t="s">
        <v>302</v>
      </c>
      <c r="J6" s="164"/>
      <c r="K6" s="164"/>
    </row>
    <row r="7" spans="2:12">
      <c r="B7" s="284"/>
      <c r="C7" s="286"/>
      <c r="D7" s="288"/>
      <c r="E7" s="290"/>
      <c r="F7" s="158" t="s">
        <v>10</v>
      </c>
      <c r="G7" s="158" t="s">
        <v>11</v>
      </c>
      <c r="H7" s="294"/>
      <c r="I7" s="294"/>
      <c r="J7" s="165"/>
      <c r="K7" s="165"/>
    </row>
    <row r="8" spans="2:12" ht="15" customHeight="1">
      <c r="C8" s="275"/>
    </row>
    <row r="9" spans="2:12" ht="114.75" customHeight="1">
      <c r="B9" s="159" t="s">
        <v>303</v>
      </c>
      <c r="C9" s="160" t="s">
        <v>193</v>
      </c>
      <c r="D9" s="159" t="s">
        <v>34</v>
      </c>
      <c r="E9" s="161">
        <v>1</v>
      </c>
      <c r="F9" s="276">
        <v>62537</v>
      </c>
      <c r="G9" s="276">
        <f t="shared" ref="G9:G40" si="0">ROUND(E9*F9,2)</f>
        <v>62537</v>
      </c>
      <c r="H9" s="162">
        <f>G9/L9</f>
        <v>0.46730672476473073</v>
      </c>
      <c r="I9" s="163">
        <f>H9</f>
        <v>0.46730672476473073</v>
      </c>
      <c r="J9" s="277" t="s">
        <v>304</v>
      </c>
      <c r="K9">
        <f>SUM($G$9:$G$87)</f>
        <v>133824.31000000006</v>
      </c>
      <c r="L9">
        <v>133824.31</v>
      </c>
    </row>
    <row r="10" spans="2:12" ht="30">
      <c r="B10" s="159" t="s">
        <v>305</v>
      </c>
      <c r="C10" s="160" t="s">
        <v>188</v>
      </c>
      <c r="D10" s="159" t="s">
        <v>34</v>
      </c>
      <c r="E10" s="161">
        <v>1</v>
      </c>
      <c r="F10" s="276">
        <v>16156.580000000002</v>
      </c>
      <c r="G10" s="276">
        <f t="shared" si="0"/>
        <v>16156.58</v>
      </c>
      <c r="H10" s="162">
        <f t="shared" ref="H10:H73" si="1">G10/L10</f>
        <v>0.1207297836992397</v>
      </c>
      <c r="I10" s="163">
        <f>I9+H10</f>
        <v>0.58803650846397049</v>
      </c>
      <c r="J10" s="277"/>
      <c r="K10">
        <f t="shared" ref="K10:K73" si="2">SUM($G$9:$G$87)</f>
        <v>133824.31000000006</v>
      </c>
      <c r="L10">
        <v>133824.31</v>
      </c>
    </row>
    <row r="11" spans="2:12" ht="120">
      <c r="B11" s="159" t="s">
        <v>306</v>
      </c>
      <c r="C11" s="160" t="s">
        <v>158</v>
      </c>
      <c r="D11" s="159" t="s">
        <v>34</v>
      </c>
      <c r="E11" s="161">
        <v>1</v>
      </c>
      <c r="F11" s="276">
        <v>8750.42</v>
      </c>
      <c r="G11" s="276">
        <f t="shared" si="0"/>
        <v>8750.42</v>
      </c>
      <c r="H11" s="162">
        <f t="shared" si="1"/>
        <v>6.5387372443766009E-2</v>
      </c>
      <c r="I11" s="163">
        <f t="shared" ref="I11:I74" si="3">I10+H11</f>
        <v>0.65342388090773651</v>
      </c>
      <c r="J11" s="277"/>
      <c r="K11">
        <f t="shared" si="2"/>
        <v>133824.31000000006</v>
      </c>
      <c r="L11">
        <v>133824.31</v>
      </c>
    </row>
    <row r="12" spans="2:12" ht="30">
      <c r="B12" s="159">
        <v>88497</v>
      </c>
      <c r="C12" s="160" t="s">
        <v>27</v>
      </c>
      <c r="D12" s="159" t="s">
        <v>18</v>
      </c>
      <c r="E12" s="161">
        <v>638.08150000000001</v>
      </c>
      <c r="F12" s="276">
        <v>10.32</v>
      </c>
      <c r="G12" s="276">
        <f t="shared" si="0"/>
        <v>6585</v>
      </c>
      <c r="H12" s="162">
        <f t="shared" si="1"/>
        <v>4.9206306387830433E-2</v>
      </c>
      <c r="I12" s="163">
        <f t="shared" si="3"/>
        <v>0.70263018729556692</v>
      </c>
      <c r="J12" s="277"/>
      <c r="K12">
        <f t="shared" si="2"/>
        <v>133824.31000000006</v>
      </c>
      <c r="L12">
        <v>133824.31</v>
      </c>
    </row>
    <row r="13" spans="2:12" ht="45">
      <c r="B13" s="159" t="s">
        <v>307</v>
      </c>
      <c r="C13" s="160" t="s">
        <v>52</v>
      </c>
      <c r="D13" s="159" t="s">
        <v>34</v>
      </c>
      <c r="E13" s="161">
        <v>28</v>
      </c>
      <c r="F13" s="276">
        <v>222.69</v>
      </c>
      <c r="G13" s="276">
        <f t="shared" si="0"/>
        <v>6235.32</v>
      </c>
      <c r="H13" s="162">
        <f t="shared" si="1"/>
        <v>4.6593328222652518E-2</v>
      </c>
      <c r="I13" s="163">
        <f t="shared" si="3"/>
        <v>0.74922351551821942</v>
      </c>
      <c r="J13" s="277"/>
      <c r="K13">
        <f t="shared" si="2"/>
        <v>133824.31000000006</v>
      </c>
      <c r="L13">
        <v>133824.31</v>
      </c>
    </row>
    <row r="14" spans="2:12" ht="60">
      <c r="B14" s="159" t="s">
        <v>28</v>
      </c>
      <c r="C14" s="160" t="s">
        <v>30</v>
      </c>
      <c r="D14" s="159" t="s">
        <v>18</v>
      </c>
      <c r="E14" s="161">
        <v>638.08150000000001</v>
      </c>
      <c r="F14" s="276">
        <v>9.68</v>
      </c>
      <c r="G14" s="276">
        <f t="shared" si="0"/>
        <v>6176.63</v>
      </c>
      <c r="H14" s="162">
        <f t="shared" si="1"/>
        <v>4.615476814339637E-2</v>
      </c>
      <c r="I14" s="163">
        <f t="shared" si="3"/>
        <v>0.79537828366161578</v>
      </c>
      <c r="J14" s="277"/>
      <c r="K14">
        <f t="shared" si="2"/>
        <v>133824.31000000006</v>
      </c>
      <c r="L14">
        <v>133824.31</v>
      </c>
    </row>
    <row r="15" spans="2:12">
      <c r="B15" s="159" t="s">
        <v>152</v>
      </c>
      <c r="C15" s="160" t="s">
        <v>154</v>
      </c>
      <c r="D15" s="159" t="s">
        <v>18</v>
      </c>
      <c r="E15" s="161">
        <v>231.3</v>
      </c>
      <c r="F15" s="276">
        <v>18.940000000000001</v>
      </c>
      <c r="G15" s="276">
        <f t="shared" si="0"/>
        <v>4380.82</v>
      </c>
      <c r="H15" s="162">
        <f t="shared" si="1"/>
        <v>3.2735606856482205E-2</v>
      </c>
      <c r="I15" s="163">
        <f t="shared" si="3"/>
        <v>0.82811389051809803</v>
      </c>
      <c r="J15" s="277"/>
      <c r="K15">
        <f t="shared" si="2"/>
        <v>133824.31000000006</v>
      </c>
      <c r="L15">
        <v>133824.31</v>
      </c>
    </row>
    <row r="16" spans="2:12" ht="45">
      <c r="B16" s="159" t="s">
        <v>308</v>
      </c>
      <c r="C16" s="160" t="s">
        <v>150</v>
      </c>
      <c r="D16" s="159" t="s">
        <v>18</v>
      </c>
      <c r="E16" s="161">
        <v>12</v>
      </c>
      <c r="F16" s="276">
        <v>193.44</v>
      </c>
      <c r="G16" s="276">
        <f t="shared" si="0"/>
        <v>2321.2800000000002</v>
      </c>
      <c r="H16" s="162">
        <f t="shared" si="1"/>
        <v>1.7345727394372519E-2</v>
      </c>
      <c r="I16" s="163">
        <f t="shared" si="3"/>
        <v>0.8454596179124706</v>
      </c>
      <c r="J16" s="278" t="s">
        <v>309</v>
      </c>
      <c r="K16">
        <f t="shared" si="2"/>
        <v>133824.31000000006</v>
      </c>
      <c r="L16">
        <v>133824.31</v>
      </c>
    </row>
    <row r="17" spans="2:12" ht="60">
      <c r="B17" s="159">
        <v>92986</v>
      </c>
      <c r="C17" s="160" t="s">
        <v>89</v>
      </c>
      <c r="D17" s="159" t="s">
        <v>64</v>
      </c>
      <c r="E17" s="161">
        <v>109.3</v>
      </c>
      <c r="F17" s="276">
        <v>16.46</v>
      </c>
      <c r="G17" s="276">
        <f t="shared" si="0"/>
        <v>1799.08</v>
      </c>
      <c r="H17" s="162">
        <f t="shared" si="1"/>
        <v>1.3443596309220649E-2</v>
      </c>
      <c r="I17" s="163">
        <f t="shared" si="3"/>
        <v>0.85890321422169125</v>
      </c>
      <c r="J17" s="278"/>
      <c r="K17">
        <f t="shared" si="2"/>
        <v>133824.31000000006</v>
      </c>
      <c r="L17">
        <v>133824.31</v>
      </c>
    </row>
    <row r="18" spans="2:12" ht="30">
      <c r="B18" s="159" t="s">
        <v>310</v>
      </c>
      <c r="C18" s="160" t="s">
        <v>22</v>
      </c>
      <c r="D18" s="159" t="s">
        <v>18</v>
      </c>
      <c r="E18" s="161">
        <v>638.08150000000001</v>
      </c>
      <c r="F18" s="276">
        <v>2.8</v>
      </c>
      <c r="G18" s="276">
        <f t="shared" si="0"/>
        <v>1786.63</v>
      </c>
      <c r="H18" s="162">
        <f t="shared" si="1"/>
        <v>1.3350563884842747E-2</v>
      </c>
      <c r="I18" s="163">
        <f t="shared" si="3"/>
        <v>0.87225377810653404</v>
      </c>
      <c r="J18" s="278"/>
      <c r="K18">
        <f t="shared" si="2"/>
        <v>133824.31000000006</v>
      </c>
      <c r="L18">
        <v>133824.31</v>
      </c>
    </row>
    <row r="19" spans="2:12" ht="60">
      <c r="B19" s="159" t="s">
        <v>15</v>
      </c>
      <c r="C19" s="160" t="s">
        <v>17</v>
      </c>
      <c r="D19" s="159" t="s">
        <v>18</v>
      </c>
      <c r="E19" s="161">
        <v>5.18</v>
      </c>
      <c r="F19" s="276">
        <v>300.52999999999997</v>
      </c>
      <c r="G19" s="276">
        <f t="shared" si="0"/>
        <v>1556.75</v>
      </c>
      <c r="H19" s="162">
        <f t="shared" si="1"/>
        <v>1.1632789289180719E-2</v>
      </c>
      <c r="I19" s="163">
        <f t="shared" si="3"/>
        <v>0.88388656739571481</v>
      </c>
      <c r="J19" s="278"/>
      <c r="K19">
        <f t="shared" si="2"/>
        <v>133824.31000000006</v>
      </c>
      <c r="L19">
        <v>133824.31</v>
      </c>
    </row>
    <row r="20" spans="2:12" ht="30">
      <c r="B20" s="159">
        <v>84125</v>
      </c>
      <c r="C20" s="160" t="s">
        <v>156</v>
      </c>
      <c r="D20" s="159" t="s">
        <v>18</v>
      </c>
      <c r="E20" s="161">
        <v>190.64</v>
      </c>
      <c r="F20" s="276">
        <v>6.82</v>
      </c>
      <c r="G20" s="276">
        <f t="shared" si="0"/>
        <v>1300.1600000000001</v>
      </c>
      <c r="H20" s="162">
        <f t="shared" si="1"/>
        <v>9.7154246489296308E-3</v>
      </c>
      <c r="I20" s="163">
        <f t="shared" si="3"/>
        <v>0.89360199204464441</v>
      </c>
      <c r="J20" s="278"/>
      <c r="K20">
        <f t="shared" si="2"/>
        <v>133824.31000000006</v>
      </c>
      <c r="L20">
        <v>133824.31</v>
      </c>
    </row>
    <row r="21" spans="2:12" ht="30">
      <c r="B21" s="159" t="s">
        <v>23</v>
      </c>
      <c r="C21" s="160" t="s">
        <v>25</v>
      </c>
      <c r="D21" s="159" t="s">
        <v>18</v>
      </c>
      <c r="E21" s="161">
        <v>638.08150000000001</v>
      </c>
      <c r="F21" s="276">
        <v>1.66</v>
      </c>
      <c r="G21" s="276">
        <f t="shared" si="0"/>
        <v>1059.22</v>
      </c>
      <c r="H21" s="162">
        <f t="shared" si="1"/>
        <v>7.9150043814909272E-3</v>
      </c>
      <c r="I21" s="163">
        <f t="shared" si="3"/>
        <v>0.90151699642613536</v>
      </c>
      <c r="J21" s="278"/>
      <c r="K21">
        <f t="shared" si="2"/>
        <v>133824.31000000006</v>
      </c>
      <c r="L21">
        <v>133824.31</v>
      </c>
    </row>
    <row r="22" spans="2:12">
      <c r="B22" s="159" t="s">
        <v>478</v>
      </c>
      <c r="C22" s="160" t="s">
        <v>162</v>
      </c>
      <c r="D22" s="159" t="s">
        <v>34</v>
      </c>
      <c r="E22" s="161">
        <v>1</v>
      </c>
      <c r="F22" s="276">
        <v>1000</v>
      </c>
      <c r="G22" s="276">
        <f t="shared" si="0"/>
        <v>1000</v>
      </c>
      <c r="H22" s="162">
        <f t="shared" si="1"/>
        <v>7.4724838857753127E-3</v>
      </c>
      <c r="I22" s="163">
        <f t="shared" si="3"/>
        <v>0.90898948031191062</v>
      </c>
      <c r="J22" s="278"/>
      <c r="K22">
        <f t="shared" si="2"/>
        <v>133824.31000000006</v>
      </c>
      <c r="L22">
        <v>133824.31</v>
      </c>
    </row>
    <row r="23" spans="2:12" ht="75">
      <c r="B23" s="159" t="s">
        <v>311</v>
      </c>
      <c r="C23" s="160" t="s">
        <v>312</v>
      </c>
      <c r="D23" s="159" t="s">
        <v>34</v>
      </c>
      <c r="E23" s="161">
        <v>1</v>
      </c>
      <c r="F23" s="276">
        <v>965.6400000000001</v>
      </c>
      <c r="G23" s="276">
        <f t="shared" si="0"/>
        <v>965.64</v>
      </c>
      <c r="H23" s="162">
        <f t="shared" si="1"/>
        <v>7.2157293394600726E-3</v>
      </c>
      <c r="I23" s="163">
        <f t="shared" si="3"/>
        <v>0.91620520965137064</v>
      </c>
      <c r="J23" s="278"/>
      <c r="K23">
        <f t="shared" si="2"/>
        <v>133824.31000000006</v>
      </c>
      <c r="L23">
        <v>133824.31</v>
      </c>
    </row>
    <row r="24" spans="2:12" ht="45">
      <c r="B24" s="159" t="s">
        <v>44</v>
      </c>
      <c r="C24" s="160" t="s">
        <v>46</v>
      </c>
      <c r="D24" s="159" t="s">
        <v>34</v>
      </c>
      <c r="E24" s="161">
        <v>4</v>
      </c>
      <c r="F24" s="276">
        <v>217.89</v>
      </c>
      <c r="G24" s="276">
        <f t="shared" si="0"/>
        <v>871.56</v>
      </c>
      <c r="H24" s="162">
        <f t="shared" si="1"/>
        <v>6.5127180554863306E-3</v>
      </c>
      <c r="I24" s="163">
        <f t="shared" si="3"/>
        <v>0.92271792770685701</v>
      </c>
      <c r="J24" s="278"/>
      <c r="K24">
        <f t="shared" si="2"/>
        <v>133824.31000000006</v>
      </c>
      <c r="L24">
        <v>133824.31</v>
      </c>
    </row>
    <row r="25" spans="2:12">
      <c r="B25" s="159">
        <v>89168</v>
      </c>
      <c r="C25" s="160" t="s">
        <v>172</v>
      </c>
      <c r="D25" s="159" t="s">
        <v>18</v>
      </c>
      <c r="E25" s="161">
        <v>11.5</v>
      </c>
      <c r="F25" s="276">
        <v>63.16</v>
      </c>
      <c r="G25" s="276">
        <f t="shared" si="0"/>
        <v>726.34</v>
      </c>
      <c r="H25" s="162">
        <f t="shared" si="1"/>
        <v>5.4275639455940404E-3</v>
      </c>
      <c r="I25" s="163">
        <f t="shared" si="3"/>
        <v>0.92814549165245108</v>
      </c>
      <c r="J25" s="278"/>
      <c r="K25">
        <f t="shared" si="2"/>
        <v>133824.31000000006</v>
      </c>
      <c r="L25">
        <v>133824.31</v>
      </c>
    </row>
    <row r="26" spans="2:12" ht="30">
      <c r="B26" s="159" t="s">
        <v>313</v>
      </c>
      <c r="C26" s="160" t="s">
        <v>314</v>
      </c>
      <c r="D26" s="159" t="s">
        <v>34</v>
      </c>
      <c r="E26" s="161">
        <v>7</v>
      </c>
      <c r="F26" s="276">
        <v>78.59</v>
      </c>
      <c r="G26" s="276">
        <f t="shared" si="0"/>
        <v>550.13</v>
      </c>
      <c r="H26" s="162">
        <f t="shared" si="1"/>
        <v>4.1108375600815723E-3</v>
      </c>
      <c r="I26" s="163">
        <f t="shared" si="3"/>
        <v>0.93225632921253265</v>
      </c>
      <c r="J26" s="278"/>
      <c r="K26">
        <f t="shared" si="2"/>
        <v>133824.31000000006</v>
      </c>
      <c r="L26">
        <v>133824.31</v>
      </c>
    </row>
    <row r="27" spans="2:12" ht="45">
      <c r="B27" s="159" t="s">
        <v>315</v>
      </c>
      <c r="C27" s="160" t="s">
        <v>316</v>
      </c>
      <c r="D27" s="159" t="s">
        <v>34</v>
      </c>
      <c r="E27" s="161">
        <v>4</v>
      </c>
      <c r="F27" s="276">
        <v>124.46</v>
      </c>
      <c r="G27" s="276">
        <f t="shared" si="0"/>
        <v>497.84</v>
      </c>
      <c r="H27" s="162">
        <f t="shared" si="1"/>
        <v>3.7201013776943814E-3</v>
      </c>
      <c r="I27" s="163">
        <f t="shared" si="3"/>
        <v>0.93597643059022706</v>
      </c>
      <c r="J27" s="278"/>
      <c r="K27">
        <f t="shared" si="2"/>
        <v>133824.31000000006</v>
      </c>
      <c r="L27">
        <v>133824.31</v>
      </c>
    </row>
    <row r="28" spans="2:12" ht="30">
      <c r="B28" s="159" t="s">
        <v>317</v>
      </c>
      <c r="C28" s="160" t="s">
        <v>48</v>
      </c>
      <c r="D28" s="159" t="s">
        <v>34</v>
      </c>
      <c r="E28" s="161">
        <v>12</v>
      </c>
      <c r="F28" s="276">
        <v>39.81</v>
      </c>
      <c r="G28" s="276">
        <f t="shared" si="0"/>
        <v>477.72</v>
      </c>
      <c r="H28" s="162">
        <f t="shared" si="1"/>
        <v>3.5697550019125825E-3</v>
      </c>
      <c r="I28" s="163">
        <f t="shared" si="3"/>
        <v>0.93954618559213965</v>
      </c>
      <c r="J28" s="278"/>
      <c r="K28">
        <f t="shared" si="2"/>
        <v>133824.31000000006</v>
      </c>
      <c r="L28">
        <v>133824.31</v>
      </c>
    </row>
    <row r="29" spans="2:12" ht="30">
      <c r="B29" s="159">
        <v>83448</v>
      </c>
      <c r="C29" s="160" t="s">
        <v>79</v>
      </c>
      <c r="D29" s="159" t="s">
        <v>34</v>
      </c>
      <c r="E29" s="161">
        <v>2</v>
      </c>
      <c r="F29" s="276">
        <v>236.97</v>
      </c>
      <c r="G29" s="276">
        <f t="shared" si="0"/>
        <v>473.94</v>
      </c>
      <c r="H29" s="162">
        <f t="shared" si="1"/>
        <v>3.5415090128243518E-3</v>
      </c>
      <c r="I29" s="163">
        <f t="shared" si="3"/>
        <v>0.943087694604964</v>
      </c>
      <c r="J29" s="278"/>
      <c r="K29">
        <f t="shared" si="2"/>
        <v>133824.31000000006</v>
      </c>
      <c r="L29">
        <v>133824.31</v>
      </c>
    </row>
    <row r="30" spans="2:12" ht="60">
      <c r="B30" s="159" t="s">
        <v>318</v>
      </c>
      <c r="C30" s="160" t="s">
        <v>128</v>
      </c>
      <c r="D30" s="159" t="s">
        <v>129</v>
      </c>
      <c r="E30" s="161">
        <v>39.9</v>
      </c>
      <c r="F30" s="276">
        <v>11.34</v>
      </c>
      <c r="G30" s="276">
        <f t="shared" si="0"/>
        <v>452.47</v>
      </c>
      <c r="H30" s="162">
        <f t="shared" si="1"/>
        <v>3.3810747837967558E-3</v>
      </c>
      <c r="I30" s="163">
        <f t="shared" si="3"/>
        <v>0.94646876938876079</v>
      </c>
      <c r="J30" s="278"/>
      <c r="K30">
        <f t="shared" si="2"/>
        <v>133824.31000000006</v>
      </c>
      <c r="L30">
        <v>133824.31</v>
      </c>
    </row>
    <row r="31" spans="2:12" ht="30">
      <c r="B31" s="159">
        <v>94990</v>
      </c>
      <c r="C31" s="160" t="s">
        <v>180</v>
      </c>
      <c r="D31" s="159" t="s">
        <v>181</v>
      </c>
      <c r="E31" s="161">
        <v>0.7</v>
      </c>
      <c r="F31" s="276">
        <v>623.91999999999996</v>
      </c>
      <c r="G31" s="276">
        <f t="shared" si="0"/>
        <v>436.74</v>
      </c>
      <c r="H31" s="162">
        <f t="shared" si="1"/>
        <v>3.2635326122735101E-3</v>
      </c>
      <c r="I31" s="163">
        <f t="shared" si="3"/>
        <v>0.94973230200103431</v>
      </c>
      <c r="J31" s="278"/>
      <c r="K31">
        <f t="shared" si="2"/>
        <v>133824.31000000006</v>
      </c>
      <c r="L31">
        <v>133824.31</v>
      </c>
    </row>
    <row r="32" spans="2:12" ht="60">
      <c r="B32" s="159">
        <v>91926</v>
      </c>
      <c r="C32" s="160" t="s">
        <v>83</v>
      </c>
      <c r="D32" s="159" t="s">
        <v>64</v>
      </c>
      <c r="E32" s="161">
        <v>135.30000000000001</v>
      </c>
      <c r="F32" s="276">
        <v>2.82</v>
      </c>
      <c r="G32" s="276">
        <f t="shared" si="0"/>
        <v>381.55</v>
      </c>
      <c r="H32" s="162">
        <f t="shared" si="1"/>
        <v>2.8511262266175705E-3</v>
      </c>
      <c r="I32" s="163">
        <f t="shared" si="3"/>
        <v>0.95258342822765185</v>
      </c>
      <c r="J32" s="278"/>
      <c r="K32">
        <f t="shared" si="2"/>
        <v>133824.31000000006</v>
      </c>
      <c r="L32">
        <v>133824.31</v>
      </c>
    </row>
    <row r="33" spans="2:12" ht="30">
      <c r="B33" s="159">
        <v>87249</v>
      </c>
      <c r="C33" s="160" t="s">
        <v>169</v>
      </c>
      <c r="D33" s="159" t="s">
        <v>18</v>
      </c>
      <c r="E33" s="161">
        <v>7.2799999999999994</v>
      </c>
      <c r="F33" s="276">
        <v>44.95</v>
      </c>
      <c r="G33" s="276">
        <f t="shared" si="0"/>
        <v>327.24</v>
      </c>
      <c r="H33" s="162">
        <f t="shared" si="1"/>
        <v>2.4452956267811132E-3</v>
      </c>
      <c r="I33" s="163">
        <f t="shared" si="3"/>
        <v>0.95502872385443294</v>
      </c>
      <c r="J33" s="279" t="s">
        <v>319</v>
      </c>
      <c r="K33">
        <f t="shared" si="2"/>
        <v>133824.31000000006</v>
      </c>
      <c r="L33">
        <v>133824.31</v>
      </c>
    </row>
    <row r="34" spans="2:12">
      <c r="B34" s="159">
        <v>83731</v>
      </c>
      <c r="C34" s="160" t="s">
        <v>167</v>
      </c>
      <c r="D34" s="159" t="s">
        <v>18</v>
      </c>
      <c r="E34" s="161">
        <v>7.2799999999999994</v>
      </c>
      <c r="F34" s="276">
        <v>44.41</v>
      </c>
      <c r="G34" s="276">
        <f t="shared" si="0"/>
        <v>323.3</v>
      </c>
      <c r="H34" s="162">
        <f t="shared" si="1"/>
        <v>2.4158540402711586E-3</v>
      </c>
      <c r="I34" s="163">
        <f t="shared" si="3"/>
        <v>0.95744457789470405</v>
      </c>
      <c r="J34" s="279"/>
      <c r="K34">
        <f t="shared" si="2"/>
        <v>133824.31000000006</v>
      </c>
      <c r="L34">
        <v>133824.31</v>
      </c>
    </row>
    <row r="35" spans="2:12" ht="60">
      <c r="B35" s="159">
        <v>90466</v>
      </c>
      <c r="C35" s="160" t="s">
        <v>66</v>
      </c>
      <c r="D35" s="159" t="s">
        <v>64</v>
      </c>
      <c r="E35" s="161">
        <v>29.5</v>
      </c>
      <c r="F35" s="276">
        <v>10.66</v>
      </c>
      <c r="G35" s="276">
        <f t="shared" si="0"/>
        <v>314.47000000000003</v>
      </c>
      <c r="H35" s="162">
        <f t="shared" si="1"/>
        <v>2.349872007559763E-3</v>
      </c>
      <c r="I35" s="163">
        <f t="shared" si="3"/>
        <v>0.95979444990226381</v>
      </c>
      <c r="J35" s="279"/>
      <c r="K35">
        <f t="shared" si="2"/>
        <v>133824.31000000006</v>
      </c>
      <c r="L35">
        <v>133824.31</v>
      </c>
    </row>
    <row r="36" spans="2:12" ht="30">
      <c r="B36" s="159">
        <v>72254</v>
      </c>
      <c r="C36" s="160" t="s">
        <v>92</v>
      </c>
      <c r="D36" s="159" t="s">
        <v>64</v>
      </c>
      <c r="E36" s="161">
        <v>9.6</v>
      </c>
      <c r="F36" s="276">
        <v>30.47</v>
      </c>
      <c r="G36" s="276">
        <f t="shared" si="0"/>
        <v>292.51</v>
      </c>
      <c r="H36" s="162">
        <f t="shared" si="1"/>
        <v>2.1857762614281365E-3</v>
      </c>
      <c r="I36" s="163">
        <f t="shared" si="3"/>
        <v>0.96198022616369194</v>
      </c>
      <c r="J36" s="279"/>
      <c r="K36">
        <f t="shared" si="2"/>
        <v>133824.31000000006</v>
      </c>
      <c r="L36">
        <v>133824.31</v>
      </c>
    </row>
    <row r="37" spans="2:12" ht="60">
      <c r="B37" s="159" t="s">
        <v>320</v>
      </c>
      <c r="C37" s="160" t="s">
        <v>117</v>
      </c>
      <c r="D37" s="159" t="s">
        <v>34</v>
      </c>
      <c r="E37" s="161">
        <v>4</v>
      </c>
      <c r="F37" s="276">
        <v>72.62</v>
      </c>
      <c r="G37" s="276">
        <f t="shared" si="0"/>
        <v>290.48</v>
      </c>
      <c r="H37" s="162">
        <f t="shared" si="1"/>
        <v>2.1706071191400131E-3</v>
      </c>
      <c r="I37" s="163">
        <f t="shared" si="3"/>
        <v>0.96415083328283191</v>
      </c>
      <c r="J37" s="279"/>
      <c r="K37">
        <f t="shared" si="2"/>
        <v>133824.31000000006</v>
      </c>
      <c r="L37">
        <v>133824.31</v>
      </c>
    </row>
    <row r="38" spans="2:12" ht="60">
      <c r="B38" s="159">
        <v>91931</v>
      </c>
      <c r="C38" s="160" t="s">
        <v>85</v>
      </c>
      <c r="D38" s="159" t="s">
        <v>64</v>
      </c>
      <c r="E38" s="161">
        <v>54.9</v>
      </c>
      <c r="F38" s="276">
        <v>5.0999999999999996</v>
      </c>
      <c r="G38" s="276">
        <f t="shared" si="0"/>
        <v>279.99</v>
      </c>
      <c r="H38" s="162">
        <f t="shared" si="1"/>
        <v>2.0922207631782299E-3</v>
      </c>
      <c r="I38" s="163">
        <f t="shared" si="3"/>
        <v>0.96624305404601019</v>
      </c>
      <c r="J38" s="279"/>
      <c r="K38">
        <f t="shared" si="2"/>
        <v>133824.31000000006</v>
      </c>
      <c r="L38">
        <v>133824.31</v>
      </c>
    </row>
    <row r="39" spans="2:12" ht="45">
      <c r="B39" s="159" t="s">
        <v>321</v>
      </c>
      <c r="C39" s="160" t="s">
        <v>96</v>
      </c>
      <c r="D39" s="159" t="s">
        <v>34</v>
      </c>
      <c r="E39" s="161">
        <v>3</v>
      </c>
      <c r="F39" s="276">
        <v>90.49</v>
      </c>
      <c r="G39" s="276">
        <f t="shared" si="0"/>
        <v>271.47000000000003</v>
      </c>
      <c r="H39" s="162">
        <f t="shared" si="1"/>
        <v>2.0285552004714242E-3</v>
      </c>
      <c r="I39" s="163">
        <f t="shared" si="3"/>
        <v>0.96827160924648159</v>
      </c>
      <c r="J39" s="279"/>
      <c r="K39">
        <f t="shared" si="2"/>
        <v>133824.31000000006</v>
      </c>
      <c r="L39">
        <v>133824.31</v>
      </c>
    </row>
    <row r="40" spans="2:12" ht="30">
      <c r="B40" s="159">
        <v>37539</v>
      </c>
      <c r="C40" s="160" t="s">
        <v>36</v>
      </c>
      <c r="D40" s="159" t="s">
        <v>34</v>
      </c>
      <c r="E40" s="161">
        <v>13</v>
      </c>
      <c r="F40" s="276">
        <v>20</v>
      </c>
      <c r="G40" s="276">
        <f t="shared" si="0"/>
        <v>260</v>
      </c>
      <c r="H40" s="162">
        <f t="shared" si="1"/>
        <v>1.9428458103015812E-3</v>
      </c>
      <c r="I40" s="163">
        <f t="shared" si="3"/>
        <v>0.97021445505678316</v>
      </c>
      <c r="J40" s="279"/>
      <c r="K40">
        <f t="shared" si="2"/>
        <v>133824.31000000006</v>
      </c>
      <c r="L40">
        <v>133824.31</v>
      </c>
    </row>
    <row r="41" spans="2:12" ht="45">
      <c r="B41" s="159" t="s">
        <v>322</v>
      </c>
      <c r="C41" s="160" t="s">
        <v>133</v>
      </c>
      <c r="D41" s="159" t="s">
        <v>34</v>
      </c>
      <c r="E41" s="161">
        <v>9</v>
      </c>
      <c r="F41" s="276">
        <v>27.300000000000004</v>
      </c>
      <c r="G41" s="276">
        <f t="shared" ref="G41:G72" si="4">ROUND(E41*F41,2)</f>
        <v>245.7</v>
      </c>
      <c r="H41" s="162">
        <f t="shared" si="1"/>
        <v>1.8359892907349941E-3</v>
      </c>
      <c r="I41" s="163">
        <f t="shared" si="3"/>
        <v>0.97205044434751819</v>
      </c>
      <c r="J41" s="279"/>
      <c r="K41">
        <f t="shared" si="2"/>
        <v>133824.31000000006</v>
      </c>
      <c r="L41">
        <v>133824.31</v>
      </c>
    </row>
    <row r="42" spans="2:12" ht="45">
      <c r="B42" s="159">
        <v>93661</v>
      </c>
      <c r="C42" s="160" t="s">
        <v>106</v>
      </c>
      <c r="D42" s="159" t="s">
        <v>34</v>
      </c>
      <c r="E42" s="161">
        <v>6</v>
      </c>
      <c r="F42" s="276">
        <v>40.24</v>
      </c>
      <c r="G42" s="276">
        <f t="shared" si="4"/>
        <v>241.44</v>
      </c>
      <c r="H42" s="162">
        <f t="shared" si="1"/>
        <v>1.8041565093815915E-3</v>
      </c>
      <c r="I42" s="163">
        <f t="shared" si="3"/>
        <v>0.97385460085689979</v>
      </c>
      <c r="J42" s="279"/>
      <c r="K42">
        <f t="shared" si="2"/>
        <v>133824.31000000006</v>
      </c>
      <c r="L42">
        <v>133824.31</v>
      </c>
    </row>
    <row r="43" spans="2:12" ht="60">
      <c r="B43" s="159">
        <v>95745</v>
      </c>
      <c r="C43" s="160" t="s">
        <v>143</v>
      </c>
      <c r="D43" s="159" t="s">
        <v>64</v>
      </c>
      <c r="E43" s="161">
        <v>15.6</v>
      </c>
      <c r="F43" s="276">
        <v>14.84</v>
      </c>
      <c r="G43" s="276">
        <f t="shared" si="4"/>
        <v>231.5</v>
      </c>
      <c r="H43" s="162">
        <f t="shared" si="1"/>
        <v>1.7298800195569848E-3</v>
      </c>
      <c r="I43" s="163">
        <f t="shared" si="3"/>
        <v>0.97558448087645677</v>
      </c>
      <c r="J43" s="279"/>
      <c r="K43">
        <f t="shared" si="2"/>
        <v>133824.31000000006</v>
      </c>
      <c r="L43">
        <v>133824.31</v>
      </c>
    </row>
    <row r="44" spans="2:12" ht="60">
      <c r="B44" s="159">
        <v>92008</v>
      </c>
      <c r="C44" s="160" t="s">
        <v>58</v>
      </c>
      <c r="D44" s="159" t="s">
        <v>34</v>
      </c>
      <c r="E44" s="161">
        <v>7</v>
      </c>
      <c r="F44" s="276">
        <v>29.71</v>
      </c>
      <c r="G44" s="276">
        <f t="shared" si="4"/>
        <v>207.97</v>
      </c>
      <c r="H44" s="162">
        <f t="shared" si="1"/>
        <v>1.5540524737246918E-3</v>
      </c>
      <c r="I44" s="163">
        <f t="shared" si="3"/>
        <v>0.97713853335018142</v>
      </c>
      <c r="J44" s="279"/>
      <c r="K44">
        <f t="shared" si="2"/>
        <v>133824.31000000006</v>
      </c>
      <c r="L44">
        <v>133824.31</v>
      </c>
    </row>
    <row r="45" spans="2:12" ht="45">
      <c r="B45" s="159">
        <v>91992</v>
      </c>
      <c r="C45" s="160" t="s">
        <v>56</v>
      </c>
      <c r="D45" s="159" t="s">
        <v>34</v>
      </c>
      <c r="E45" s="161">
        <v>6</v>
      </c>
      <c r="F45" s="276">
        <v>28.7</v>
      </c>
      <c r="G45" s="276">
        <f t="shared" si="4"/>
        <v>172.2</v>
      </c>
      <c r="H45" s="162">
        <f t="shared" si="1"/>
        <v>1.2867617251305088E-3</v>
      </c>
      <c r="I45" s="163">
        <f t="shared" si="3"/>
        <v>0.97842529507531195</v>
      </c>
      <c r="J45" s="279"/>
      <c r="K45">
        <f t="shared" si="2"/>
        <v>133824.31000000006</v>
      </c>
      <c r="L45">
        <v>133824.31</v>
      </c>
    </row>
    <row r="46" spans="2:12" ht="30">
      <c r="B46" s="159">
        <v>93009</v>
      </c>
      <c r="C46" s="160" t="s">
        <v>72</v>
      </c>
      <c r="D46" s="159" t="s">
        <v>64</v>
      </c>
      <c r="E46" s="161">
        <v>12.6</v>
      </c>
      <c r="F46" s="276">
        <v>13.52</v>
      </c>
      <c r="G46" s="276">
        <f t="shared" si="4"/>
        <v>170.35</v>
      </c>
      <c r="H46" s="162">
        <f t="shared" si="1"/>
        <v>1.2729376299418244E-3</v>
      </c>
      <c r="I46" s="163">
        <f t="shared" si="3"/>
        <v>0.9796982327052538</v>
      </c>
      <c r="J46" s="279"/>
      <c r="K46">
        <f t="shared" si="2"/>
        <v>133824.31000000006</v>
      </c>
      <c r="L46">
        <v>133824.31</v>
      </c>
    </row>
    <row r="47" spans="2:12" ht="60">
      <c r="B47" s="159" t="s">
        <v>323</v>
      </c>
      <c r="C47" s="160" t="s">
        <v>324</v>
      </c>
      <c r="D47" s="159" t="s">
        <v>34</v>
      </c>
      <c r="E47" s="161">
        <v>2</v>
      </c>
      <c r="F47" s="276">
        <v>81.48</v>
      </c>
      <c r="G47" s="276">
        <f t="shared" si="4"/>
        <v>162.96</v>
      </c>
      <c r="H47" s="162">
        <f t="shared" si="1"/>
        <v>1.217715974025945E-3</v>
      </c>
      <c r="I47" s="163">
        <f t="shared" si="3"/>
        <v>0.98091594867927978</v>
      </c>
      <c r="J47" s="279"/>
      <c r="K47">
        <f t="shared" si="2"/>
        <v>133824.31000000006</v>
      </c>
      <c r="L47">
        <v>133824.31</v>
      </c>
    </row>
    <row r="48" spans="2:12">
      <c r="B48" s="159" t="s">
        <v>163</v>
      </c>
      <c r="C48" s="160" t="s">
        <v>165</v>
      </c>
      <c r="D48" s="159" t="s">
        <v>18</v>
      </c>
      <c r="E48" s="161">
        <v>7.2799999999999994</v>
      </c>
      <c r="F48" s="276">
        <v>21.82</v>
      </c>
      <c r="G48" s="276">
        <f t="shared" si="4"/>
        <v>158.85</v>
      </c>
      <c r="H48" s="162">
        <f t="shared" si="1"/>
        <v>1.1870040652554082E-3</v>
      </c>
      <c r="I48" s="163">
        <f t="shared" si="3"/>
        <v>0.98210295274453518</v>
      </c>
      <c r="J48" s="279"/>
      <c r="K48">
        <f t="shared" si="2"/>
        <v>133824.31000000006</v>
      </c>
      <c r="L48">
        <v>133824.31</v>
      </c>
    </row>
    <row r="49" spans="2:12" ht="45">
      <c r="B49" s="159">
        <v>90447</v>
      </c>
      <c r="C49" s="160" t="s">
        <v>63</v>
      </c>
      <c r="D49" s="159" t="s">
        <v>64</v>
      </c>
      <c r="E49" s="161">
        <v>29.5</v>
      </c>
      <c r="F49" s="276">
        <v>5.21</v>
      </c>
      <c r="G49" s="276">
        <f t="shared" si="4"/>
        <v>153.69999999999999</v>
      </c>
      <c r="H49" s="162">
        <f t="shared" si="1"/>
        <v>1.1485207732436654E-3</v>
      </c>
      <c r="I49" s="163">
        <f t="shared" si="3"/>
        <v>0.98325147351777886</v>
      </c>
      <c r="J49" s="279"/>
      <c r="K49">
        <f t="shared" si="2"/>
        <v>133824.31000000006</v>
      </c>
      <c r="L49">
        <v>133824.31</v>
      </c>
    </row>
    <row r="50" spans="2:12" ht="60">
      <c r="B50" s="159">
        <v>92982</v>
      </c>
      <c r="C50" s="160" t="s">
        <v>87</v>
      </c>
      <c r="D50" s="159" t="s">
        <v>64</v>
      </c>
      <c r="E50" s="161">
        <v>21.2</v>
      </c>
      <c r="F50" s="276">
        <v>7.07</v>
      </c>
      <c r="G50" s="276">
        <f t="shared" si="4"/>
        <v>149.88</v>
      </c>
      <c r="H50" s="162">
        <f t="shared" si="1"/>
        <v>1.1199758848000037E-3</v>
      </c>
      <c r="I50" s="163">
        <f t="shared" si="3"/>
        <v>0.98437144940257881</v>
      </c>
      <c r="J50" s="279"/>
      <c r="K50">
        <f t="shared" si="2"/>
        <v>133824.31000000006</v>
      </c>
      <c r="L50">
        <v>133824.31</v>
      </c>
    </row>
    <row r="51" spans="2:12" ht="75">
      <c r="B51" s="159" t="s">
        <v>325</v>
      </c>
      <c r="C51" s="160" t="s">
        <v>94</v>
      </c>
      <c r="D51" s="159" t="s">
        <v>34</v>
      </c>
      <c r="E51" s="161">
        <v>4</v>
      </c>
      <c r="F51" s="276">
        <v>36.489999999999995</v>
      </c>
      <c r="G51" s="276">
        <f t="shared" si="4"/>
        <v>145.96</v>
      </c>
      <c r="H51" s="162">
        <f t="shared" si="1"/>
        <v>1.0906837479677646E-3</v>
      </c>
      <c r="I51" s="163">
        <f t="shared" si="3"/>
        <v>0.98546213315054654</v>
      </c>
      <c r="J51" s="279"/>
      <c r="K51">
        <f t="shared" si="2"/>
        <v>133824.31000000006</v>
      </c>
      <c r="L51">
        <v>133824.31</v>
      </c>
    </row>
    <row r="52" spans="2:12" ht="60">
      <c r="B52" s="159" t="s">
        <v>326</v>
      </c>
      <c r="C52" s="160" t="s">
        <v>125</v>
      </c>
      <c r="D52" s="159" t="s">
        <v>34</v>
      </c>
      <c r="E52" s="161">
        <v>2</v>
      </c>
      <c r="F52" s="276">
        <v>62.84</v>
      </c>
      <c r="G52" s="276">
        <f t="shared" si="4"/>
        <v>125.68</v>
      </c>
      <c r="H52" s="162">
        <f t="shared" si="1"/>
        <v>9.3914177476424137E-4</v>
      </c>
      <c r="I52" s="163">
        <f t="shared" si="3"/>
        <v>0.98640127492531082</v>
      </c>
      <c r="J52" s="279"/>
      <c r="K52">
        <f t="shared" si="2"/>
        <v>133824.31000000006</v>
      </c>
      <c r="L52">
        <v>133824.31</v>
      </c>
    </row>
    <row r="53" spans="2:12" ht="45">
      <c r="B53" s="159" t="s">
        <v>327</v>
      </c>
      <c r="C53" s="160" t="s">
        <v>328</v>
      </c>
      <c r="D53" s="159" t="s">
        <v>34</v>
      </c>
      <c r="E53" s="161">
        <v>4</v>
      </c>
      <c r="F53" s="276">
        <v>31.17</v>
      </c>
      <c r="G53" s="276">
        <f t="shared" si="4"/>
        <v>124.68</v>
      </c>
      <c r="H53" s="162">
        <f t="shared" si="1"/>
        <v>9.3166929087846605E-4</v>
      </c>
      <c r="I53" s="163">
        <f t="shared" si="3"/>
        <v>0.98733294421618933</v>
      </c>
      <c r="J53" s="279"/>
      <c r="K53">
        <f t="shared" si="2"/>
        <v>133824.31000000006</v>
      </c>
      <c r="L53">
        <v>133824.31</v>
      </c>
    </row>
    <row r="54" spans="2:12" ht="45">
      <c r="B54" s="159" t="s">
        <v>329</v>
      </c>
      <c r="C54" s="160" t="s">
        <v>112</v>
      </c>
      <c r="D54" s="159" t="s">
        <v>34</v>
      </c>
      <c r="E54" s="161">
        <v>1</v>
      </c>
      <c r="F54" s="276">
        <v>120.18</v>
      </c>
      <c r="G54" s="276">
        <f t="shared" si="4"/>
        <v>120.18</v>
      </c>
      <c r="H54" s="162">
        <f t="shared" si="1"/>
        <v>8.9804311339247711E-4</v>
      </c>
      <c r="I54" s="163">
        <f t="shared" si="3"/>
        <v>0.98823098732958181</v>
      </c>
      <c r="J54" s="279"/>
      <c r="K54">
        <f t="shared" si="2"/>
        <v>133824.31000000006</v>
      </c>
      <c r="L54">
        <v>133824.31</v>
      </c>
    </row>
    <row r="55" spans="2:12" ht="45">
      <c r="B55" s="159" t="s">
        <v>330</v>
      </c>
      <c r="C55" s="160" t="s">
        <v>331</v>
      </c>
      <c r="D55" s="159" t="s">
        <v>34</v>
      </c>
      <c r="E55" s="161">
        <v>1</v>
      </c>
      <c r="F55" s="276">
        <v>116.35</v>
      </c>
      <c r="G55" s="276">
        <f t="shared" si="4"/>
        <v>116.35</v>
      </c>
      <c r="H55" s="162">
        <f t="shared" si="1"/>
        <v>8.694235001099576E-4</v>
      </c>
      <c r="I55" s="163">
        <f t="shared" si="3"/>
        <v>0.9891004108296918</v>
      </c>
      <c r="J55" s="279"/>
      <c r="K55">
        <f t="shared" si="2"/>
        <v>133824.31000000006</v>
      </c>
      <c r="L55">
        <v>133824.31</v>
      </c>
    </row>
    <row r="56" spans="2:12" ht="45">
      <c r="B56" s="159" t="s">
        <v>332</v>
      </c>
      <c r="C56" s="160" t="s">
        <v>115</v>
      </c>
      <c r="D56" s="159" t="s">
        <v>34</v>
      </c>
      <c r="E56" s="161">
        <v>1</v>
      </c>
      <c r="F56" s="276">
        <v>109.53</v>
      </c>
      <c r="G56" s="276">
        <f t="shared" si="4"/>
        <v>109.53</v>
      </c>
      <c r="H56" s="162">
        <f t="shared" si="1"/>
        <v>8.1846116000896998E-4</v>
      </c>
      <c r="I56" s="163">
        <f t="shared" si="3"/>
        <v>0.98991887198970074</v>
      </c>
      <c r="J56" s="279"/>
      <c r="K56">
        <f t="shared" si="2"/>
        <v>133824.31000000006</v>
      </c>
      <c r="L56">
        <v>133824.31</v>
      </c>
    </row>
    <row r="57" spans="2:12">
      <c r="B57" s="159">
        <v>7156</v>
      </c>
      <c r="C57" s="160" t="s">
        <v>183</v>
      </c>
      <c r="D57" s="159" t="s">
        <v>18</v>
      </c>
      <c r="E57" s="161">
        <v>4.7</v>
      </c>
      <c r="F57" s="276">
        <v>23.06</v>
      </c>
      <c r="G57" s="276">
        <f t="shared" si="4"/>
        <v>108.38</v>
      </c>
      <c r="H57" s="162">
        <f t="shared" si="1"/>
        <v>8.0986780354032838E-4</v>
      </c>
      <c r="I57" s="163">
        <f t="shared" si="3"/>
        <v>0.99072873979324105</v>
      </c>
      <c r="J57" s="279"/>
      <c r="K57">
        <f t="shared" si="2"/>
        <v>133824.31000000006</v>
      </c>
      <c r="L57">
        <v>133824.31</v>
      </c>
    </row>
    <row r="58" spans="2:12" ht="30">
      <c r="B58" s="159" t="s">
        <v>334</v>
      </c>
      <c r="C58" s="160" t="s">
        <v>186</v>
      </c>
      <c r="D58" s="159" t="s">
        <v>34</v>
      </c>
      <c r="E58" s="161">
        <v>1</v>
      </c>
      <c r="F58" s="276">
        <v>104.11</v>
      </c>
      <c r="G58" s="276">
        <f t="shared" si="4"/>
        <v>104.11</v>
      </c>
      <c r="H58" s="162">
        <f t="shared" si="1"/>
        <v>7.7796029734806778E-4</v>
      </c>
      <c r="I58" s="163">
        <f t="shared" si="3"/>
        <v>0.99150670009058917</v>
      </c>
      <c r="J58" s="279"/>
      <c r="K58">
        <f t="shared" si="2"/>
        <v>133824.31000000006</v>
      </c>
      <c r="L58">
        <v>133824.31</v>
      </c>
    </row>
    <row r="59" spans="2:12" ht="60">
      <c r="B59" s="159">
        <v>91867</v>
      </c>
      <c r="C59" s="160" t="s">
        <v>70</v>
      </c>
      <c r="D59" s="159" t="s">
        <v>64</v>
      </c>
      <c r="E59" s="161">
        <v>15.6</v>
      </c>
      <c r="F59" s="276">
        <v>6.06</v>
      </c>
      <c r="G59" s="276">
        <f t="shared" si="4"/>
        <v>94.54</v>
      </c>
      <c r="H59" s="162">
        <f t="shared" si="1"/>
        <v>7.0644862656119814E-4</v>
      </c>
      <c r="I59" s="163">
        <f t="shared" si="3"/>
        <v>0.99221314871715038</v>
      </c>
      <c r="J59" s="279"/>
      <c r="K59">
        <f t="shared" si="2"/>
        <v>133824.31000000006</v>
      </c>
      <c r="L59">
        <v>133824.31</v>
      </c>
    </row>
    <row r="60" spans="2:12" ht="60">
      <c r="B60" s="159">
        <v>91854</v>
      </c>
      <c r="C60" s="160" t="s">
        <v>68</v>
      </c>
      <c r="D60" s="159" t="s">
        <v>64</v>
      </c>
      <c r="E60" s="161">
        <v>13.9</v>
      </c>
      <c r="F60" s="276">
        <v>6.66</v>
      </c>
      <c r="G60" s="276">
        <f t="shared" si="4"/>
        <v>92.57</v>
      </c>
      <c r="H60" s="162">
        <f t="shared" si="1"/>
        <v>6.9172783330622063E-4</v>
      </c>
      <c r="I60" s="163">
        <f t="shared" si="3"/>
        <v>0.99290487655045656</v>
      </c>
      <c r="J60" s="279"/>
      <c r="K60">
        <f t="shared" si="2"/>
        <v>133824.31000000006</v>
      </c>
      <c r="L60">
        <v>133824.31</v>
      </c>
    </row>
    <row r="61" spans="2:12" ht="45">
      <c r="B61" s="159">
        <v>93663</v>
      </c>
      <c r="C61" s="160" t="s">
        <v>108</v>
      </c>
      <c r="D61" s="159" t="s">
        <v>34</v>
      </c>
      <c r="E61" s="161">
        <v>2</v>
      </c>
      <c r="F61" s="276">
        <v>41.89</v>
      </c>
      <c r="G61" s="276">
        <f t="shared" si="4"/>
        <v>83.78</v>
      </c>
      <c r="H61" s="162">
        <f t="shared" si="1"/>
        <v>6.2604469995025571E-4</v>
      </c>
      <c r="I61" s="163">
        <f t="shared" si="3"/>
        <v>0.99353092125040676</v>
      </c>
      <c r="J61" s="279"/>
      <c r="K61">
        <f t="shared" si="2"/>
        <v>133824.31000000006</v>
      </c>
      <c r="L61">
        <v>133824.31</v>
      </c>
    </row>
    <row r="62" spans="2:12" ht="60">
      <c r="B62" s="159" t="s">
        <v>333</v>
      </c>
      <c r="C62" s="160" t="s">
        <v>123</v>
      </c>
      <c r="D62" s="159" t="s">
        <v>34</v>
      </c>
      <c r="E62" s="161">
        <v>2</v>
      </c>
      <c r="F62" s="276">
        <v>41.63</v>
      </c>
      <c r="G62" s="276">
        <f t="shared" si="4"/>
        <v>83.26</v>
      </c>
      <c r="H62" s="162">
        <f t="shared" si="1"/>
        <v>6.2215900832965256E-4</v>
      </c>
      <c r="I62" s="163">
        <f t="shared" si="3"/>
        <v>0.99415308025873639</v>
      </c>
      <c r="J62" s="279"/>
      <c r="K62">
        <f t="shared" si="2"/>
        <v>133824.31000000006</v>
      </c>
      <c r="L62">
        <v>133824.31</v>
      </c>
    </row>
    <row r="63" spans="2:12" ht="45">
      <c r="B63" s="159">
        <v>93660</v>
      </c>
      <c r="C63" s="160" t="s">
        <v>104</v>
      </c>
      <c r="D63" s="159" t="s">
        <v>34</v>
      </c>
      <c r="E63" s="161">
        <v>2</v>
      </c>
      <c r="F63" s="276">
        <v>39.270000000000003</v>
      </c>
      <c r="G63" s="276">
        <f t="shared" si="4"/>
        <v>78.540000000000006</v>
      </c>
      <c r="H63" s="162">
        <f t="shared" si="1"/>
        <v>5.8688888438879314E-4</v>
      </c>
      <c r="I63" s="163">
        <f t="shared" si="3"/>
        <v>0.99473996914312524</v>
      </c>
      <c r="J63" s="279"/>
      <c r="K63">
        <f t="shared" si="2"/>
        <v>133824.31000000006</v>
      </c>
      <c r="L63">
        <v>133824.31</v>
      </c>
    </row>
    <row r="64" spans="2:12" ht="45">
      <c r="B64" s="159" t="s">
        <v>335</v>
      </c>
      <c r="C64" s="160" t="s">
        <v>131</v>
      </c>
      <c r="D64" s="159" t="s">
        <v>34</v>
      </c>
      <c r="E64" s="161">
        <v>2</v>
      </c>
      <c r="F64" s="276">
        <v>35.130000000000003</v>
      </c>
      <c r="G64" s="276">
        <f t="shared" si="4"/>
        <v>70.260000000000005</v>
      </c>
      <c r="H64" s="162">
        <f t="shared" si="1"/>
        <v>5.2501671781457352E-4</v>
      </c>
      <c r="I64" s="163">
        <f t="shared" si="3"/>
        <v>0.99526498586093981</v>
      </c>
      <c r="J64" s="279"/>
      <c r="K64">
        <f t="shared" si="2"/>
        <v>133824.31000000006</v>
      </c>
      <c r="L64">
        <v>133824.31</v>
      </c>
    </row>
    <row r="65" spans="2:12">
      <c r="B65" s="159">
        <v>94207</v>
      </c>
      <c r="C65" s="160" t="s">
        <v>178</v>
      </c>
      <c r="D65" s="159" t="s">
        <v>18</v>
      </c>
      <c r="E65" s="161">
        <v>2.25</v>
      </c>
      <c r="F65" s="276">
        <v>31.19</v>
      </c>
      <c r="G65" s="276">
        <f t="shared" si="4"/>
        <v>70.180000000000007</v>
      </c>
      <c r="H65" s="162">
        <f t="shared" si="1"/>
        <v>5.2441891910371145E-4</v>
      </c>
      <c r="I65" s="163">
        <f t="shared" si="3"/>
        <v>0.99578940478004352</v>
      </c>
      <c r="J65" s="279"/>
      <c r="K65">
        <f t="shared" si="2"/>
        <v>133824.31000000006</v>
      </c>
      <c r="L65">
        <v>133824.31</v>
      </c>
    </row>
    <row r="66" spans="2:12" ht="30">
      <c r="B66" s="159" t="s">
        <v>336</v>
      </c>
      <c r="C66" s="160" t="s">
        <v>337</v>
      </c>
      <c r="D66" s="159" t="s">
        <v>64</v>
      </c>
      <c r="E66" s="161">
        <v>18.2</v>
      </c>
      <c r="F66" s="276">
        <v>3.7700000000000005</v>
      </c>
      <c r="G66" s="276">
        <f t="shared" si="4"/>
        <v>68.61</v>
      </c>
      <c r="H66" s="162">
        <f t="shared" si="1"/>
        <v>5.1268711940304415E-4</v>
      </c>
      <c r="I66" s="163">
        <f t="shared" si="3"/>
        <v>0.99630209189944652</v>
      </c>
      <c r="J66" s="279"/>
      <c r="K66">
        <f t="shared" si="2"/>
        <v>133824.31000000006</v>
      </c>
      <c r="L66">
        <v>133824.31</v>
      </c>
    </row>
    <row r="67" spans="2:12" ht="45">
      <c r="B67" s="159">
        <v>91941</v>
      </c>
      <c r="C67" s="160" t="s">
        <v>77</v>
      </c>
      <c r="D67" s="159" t="s">
        <v>34</v>
      </c>
      <c r="E67" s="161">
        <v>9</v>
      </c>
      <c r="F67" s="276">
        <v>7.3</v>
      </c>
      <c r="G67" s="276">
        <f t="shared" si="4"/>
        <v>65.7</v>
      </c>
      <c r="H67" s="162">
        <f t="shared" si="1"/>
        <v>4.90942191295438E-4</v>
      </c>
      <c r="I67" s="163">
        <f t="shared" si="3"/>
        <v>0.99679303409074194</v>
      </c>
      <c r="J67" s="279"/>
      <c r="K67">
        <f t="shared" si="2"/>
        <v>133824.31000000006</v>
      </c>
      <c r="L67">
        <v>133824.31</v>
      </c>
    </row>
    <row r="68" spans="2:12" ht="45">
      <c r="B68" s="159" t="s">
        <v>338</v>
      </c>
      <c r="C68" s="160" t="s">
        <v>135</v>
      </c>
      <c r="D68" s="159" t="s">
        <v>34</v>
      </c>
      <c r="E68" s="161">
        <v>3</v>
      </c>
      <c r="F68" s="276">
        <v>19.72</v>
      </c>
      <c r="G68" s="276">
        <f t="shared" si="4"/>
        <v>59.16</v>
      </c>
      <c r="H68" s="162">
        <f t="shared" si="1"/>
        <v>4.4207214668246745E-4</v>
      </c>
      <c r="I68" s="163">
        <f t="shared" si="3"/>
        <v>0.9972351062374244</v>
      </c>
      <c r="J68" s="279"/>
      <c r="K68">
        <f t="shared" si="2"/>
        <v>133824.31000000006</v>
      </c>
      <c r="L68">
        <v>133824.31</v>
      </c>
    </row>
    <row r="69" spans="2:12" ht="45">
      <c r="B69" s="159">
        <v>93669</v>
      </c>
      <c r="C69" s="160" t="s">
        <v>110</v>
      </c>
      <c r="D69" s="159" t="s">
        <v>34</v>
      </c>
      <c r="E69" s="161">
        <v>1</v>
      </c>
      <c r="F69" s="276">
        <v>52.95</v>
      </c>
      <c r="G69" s="276">
        <f t="shared" si="4"/>
        <v>52.95</v>
      </c>
      <c r="H69" s="162">
        <f t="shared" si="1"/>
        <v>3.9566802175180284E-4</v>
      </c>
      <c r="I69" s="163">
        <f t="shared" si="3"/>
        <v>0.99763077425917623</v>
      </c>
      <c r="J69" s="279"/>
      <c r="K69">
        <f t="shared" si="2"/>
        <v>133824.31000000006</v>
      </c>
      <c r="L69">
        <v>133824.31</v>
      </c>
    </row>
    <row r="70" spans="2:12" ht="45">
      <c r="B70" s="159" t="s">
        <v>339</v>
      </c>
      <c r="C70" s="160" t="s">
        <v>139</v>
      </c>
      <c r="D70" s="159" t="s">
        <v>34</v>
      </c>
      <c r="E70" s="161">
        <v>7</v>
      </c>
      <c r="F70" s="276">
        <v>7.2099999999999991</v>
      </c>
      <c r="G70" s="276">
        <f t="shared" si="4"/>
        <v>50.47</v>
      </c>
      <c r="H70" s="162">
        <f t="shared" si="1"/>
        <v>3.7713626171508003E-4</v>
      </c>
      <c r="I70" s="163">
        <f t="shared" si="3"/>
        <v>0.99800791052089133</v>
      </c>
      <c r="J70" s="279"/>
      <c r="K70">
        <f t="shared" si="2"/>
        <v>133824.31000000006</v>
      </c>
      <c r="L70">
        <v>133824.31</v>
      </c>
    </row>
    <row r="71" spans="2:12" ht="45">
      <c r="B71" s="159">
        <v>93653</v>
      </c>
      <c r="C71" s="160" t="s">
        <v>100</v>
      </c>
      <c r="D71" s="159" t="s">
        <v>34</v>
      </c>
      <c r="E71" s="161">
        <v>5</v>
      </c>
      <c r="F71" s="276">
        <v>7.94</v>
      </c>
      <c r="G71" s="276">
        <f t="shared" si="4"/>
        <v>39.700000000000003</v>
      </c>
      <c r="H71" s="162">
        <f t="shared" si="1"/>
        <v>2.9665761026527991E-4</v>
      </c>
      <c r="I71" s="163">
        <f t="shared" si="3"/>
        <v>0.99830456813115664</v>
      </c>
      <c r="J71" s="279"/>
      <c r="K71">
        <f t="shared" si="2"/>
        <v>133824.31000000006</v>
      </c>
      <c r="L71">
        <v>133824.31</v>
      </c>
    </row>
    <row r="72" spans="2:12" ht="45">
      <c r="B72" s="159">
        <v>84665</v>
      </c>
      <c r="C72" s="160" t="s">
        <v>40</v>
      </c>
      <c r="D72" s="159" t="s">
        <v>18</v>
      </c>
      <c r="E72" s="161">
        <v>2</v>
      </c>
      <c r="F72" s="276">
        <v>17.93</v>
      </c>
      <c r="G72" s="276">
        <f t="shared" si="4"/>
        <v>35.86</v>
      </c>
      <c r="H72" s="162">
        <f t="shared" si="1"/>
        <v>2.6796327214390271E-4</v>
      </c>
      <c r="I72" s="163">
        <f t="shared" si="3"/>
        <v>0.9985725314033006</v>
      </c>
      <c r="J72" s="279"/>
      <c r="K72">
        <f t="shared" si="2"/>
        <v>133824.31000000006</v>
      </c>
      <c r="L72">
        <v>133824.31</v>
      </c>
    </row>
    <row r="73" spans="2:12" ht="45">
      <c r="B73" s="159">
        <v>93654</v>
      </c>
      <c r="C73" s="160" t="s">
        <v>102</v>
      </c>
      <c r="D73" s="159" t="s">
        <v>34</v>
      </c>
      <c r="E73" s="161">
        <v>4</v>
      </c>
      <c r="F73" s="276">
        <v>8.43</v>
      </c>
      <c r="G73" s="276">
        <f t="shared" ref="G73:G104" si="5">ROUND(E73*F73,2)</f>
        <v>33.72</v>
      </c>
      <c r="H73" s="162">
        <f t="shared" si="1"/>
        <v>2.5197215662834353E-4</v>
      </c>
      <c r="I73" s="163">
        <f t="shared" si="3"/>
        <v>0.99882450355992891</v>
      </c>
      <c r="J73" s="279"/>
      <c r="K73">
        <f t="shared" si="2"/>
        <v>133824.31000000006</v>
      </c>
      <c r="L73">
        <v>133824.31</v>
      </c>
    </row>
    <row r="74" spans="2:12" ht="30">
      <c r="B74" s="159">
        <v>90456</v>
      </c>
      <c r="C74" s="160" t="s">
        <v>75</v>
      </c>
      <c r="D74" s="159" t="s">
        <v>34</v>
      </c>
      <c r="E74" s="161">
        <v>9</v>
      </c>
      <c r="F74" s="276">
        <v>3.44</v>
      </c>
      <c r="G74" s="276">
        <f t="shared" si="5"/>
        <v>30.96</v>
      </c>
      <c r="H74" s="162">
        <f t="shared" ref="H74:H116" si="6">G74/L74</f>
        <v>2.3134810110360369E-4</v>
      </c>
      <c r="I74" s="163">
        <f t="shared" si="3"/>
        <v>0.9990558516610325</v>
      </c>
      <c r="J74" s="279"/>
      <c r="K74">
        <f t="shared" ref="K74:K87" si="7">SUM($G$9:$G$87)</f>
        <v>133824.31000000006</v>
      </c>
      <c r="L74">
        <v>133824.31</v>
      </c>
    </row>
    <row r="75" spans="2:12">
      <c r="B75" s="159">
        <v>88316</v>
      </c>
      <c r="C75" s="160" t="s">
        <v>160</v>
      </c>
      <c r="D75" s="159" t="s">
        <v>34</v>
      </c>
      <c r="E75" s="161">
        <v>2</v>
      </c>
      <c r="F75" s="276">
        <v>14.55</v>
      </c>
      <c r="G75" s="276">
        <f t="shared" si="5"/>
        <v>29.1</v>
      </c>
      <c r="H75" s="162">
        <f t="shared" si="6"/>
        <v>2.1744928107606161E-4</v>
      </c>
      <c r="I75" s="163">
        <f t="shared" ref="I75:I116" si="8">I74+H75</f>
        <v>0.99927330094210853</v>
      </c>
      <c r="J75" s="279"/>
      <c r="K75">
        <f t="shared" si="7"/>
        <v>133824.31000000006</v>
      </c>
      <c r="L75">
        <v>133824.31</v>
      </c>
    </row>
    <row r="76" spans="2:12" ht="30">
      <c r="B76" s="159" t="s">
        <v>340</v>
      </c>
      <c r="C76" s="160" t="s">
        <v>137</v>
      </c>
      <c r="D76" s="159" t="s">
        <v>34</v>
      </c>
      <c r="E76" s="161">
        <v>4</v>
      </c>
      <c r="F76" s="276">
        <v>7.2299999999999995</v>
      </c>
      <c r="G76" s="276">
        <f t="shared" si="5"/>
        <v>28.92</v>
      </c>
      <c r="H76" s="162">
        <f t="shared" si="6"/>
        <v>2.1610423397662204E-4</v>
      </c>
      <c r="I76" s="163">
        <f t="shared" si="8"/>
        <v>0.9994894051760852</v>
      </c>
      <c r="J76" s="279"/>
      <c r="K76">
        <f t="shared" si="7"/>
        <v>133824.31000000006</v>
      </c>
      <c r="L76">
        <v>133824.31</v>
      </c>
    </row>
    <row r="77" spans="2:12" ht="45">
      <c r="B77" s="159" t="s">
        <v>41</v>
      </c>
      <c r="C77" s="160" t="s">
        <v>43</v>
      </c>
      <c r="D77" s="159" t="s">
        <v>34</v>
      </c>
      <c r="E77" s="161">
        <v>2</v>
      </c>
      <c r="F77" s="276">
        <v>11.95</v>
      </c>
      <c r="G77" s="276">
        <f t="shared" si="5"/>
        <v>23.9</v>
      </c>
      <c r="H77" s="162">
        <f t="shared" si="6"/>
        <v>1.7859236487002996E-4</v>
      </c>
      <c r="I77" s="163">
        <f t="shared" si="8"/>
        <v>0.99966799754095526</v>
      </c>
      <c r="J77" s="279"/>
      <c r="K77">
        <f t="shared" si="7"/>
        <v>133824.31000000006</v>
      </c>
      <c r="L77">
        <v>133824.31</v>
      </c>
    </row>
    <row r="78" spans="2:12">
      <c r="B78" s="159">
        <v>95241</v>
      </c>
      <c r="C78" s="160" t="s">
        <v>174</v>
      </c>
      <c r="D78" s="159" t="s">
        <v>18</v>
      </c>
      <c r="E78" s="161">
        <v>1</v>
      </c>
      <c r="F78" s="276">
        <v>22.65</v>
      </c>
      <c r="G78" s="276">
        <f t="shared" si="5"/>
        <v>22.65</v>
      </c>
      <c r="H78" s="162">
        <f t="shared" si="6"/>
        <v>1.6925176001281081E-4</v>
      </c>
      <c r="I78" s="163">
        <f t="shared" si="8"/>
        <v>0.99983724930096807</v>
      </c>
      <c r="J78" s="279"/>
      <c r="K78">
        <f t="shared" si="7"/>
        <v>133824.31000000006</v>
      </c>
      <c r="L78">
        <v>133824.31</v>
      </c>
    </row>
    <row r="79" spans="2:12">
      <c r="B79" s="159">
        <v>92544</v>
      </c>
      <c r="C79" s="160" t="s">
        <v>176</v>
      </c>
      <c r="D79" s="159" t="s">
        <v>18</v>
      </c>
      <c r="E79" s="161">
        <v>2.25</v>
      </c>
      <c r="F79" s="276">
        <v>9.68</v>
      </c>
      <c r="G79" s="276">
        <f t="shared" si="5"/>
        <v>21.78</v>
      </c>
      <c r="H79" s="162">
        <f t="shared" si="6"/>
        <v>1.6275069903218633E-4</v>
      </c>
      <c r="I79" s="163">
        <f t="shared" si="8"/>
        <v>1.0000000000000002</v>
      </c>
      <c r="J79" s="279"/>
      <c r="K79">
        <f t="shared" si="7"/>
        <v>133824.31000000006</v>
      </c>
      <c r="L79">
        <v>133824.31</v>
      </c>
    </row>
    <row r="80" spans="2:12">
      <c r="B80" s="271"/>
      <c r="C80" s="271"/>
      <c r="F80" s="271"/>
      <c r="G80" s="271"/>
      <c r="H80" s="272"/>
      <c r="I80" s="273"/>
      <c r="J80" s="274"/>
      <c r="K80">
        <f t="shared" si="7"/>
        <v>133824.31000000006</v>
      </c>
      <c r="L80">
        <v>133824.31</v>
      </c>
    </row>
    <row r="81" spans="2:12">
      <c r="B81" s="271"/>
      <c r="C81" s="271"/>
      <c r="F81" s="271"/>
      <c r="G81" s="271"/>
      <c r="H81" s="272"/>
      <c r="I81" s="273"/>
      <c r="J81" s="274"/>
      <c r="K81">
        <f t="shared" si="7"/>
        <v>133824.31000000006</v>
      </c>
      <c r="L81">
        <v>133824.31</v>
      </c>
    </row>
    <row r="82" spans="2:12">
      <c r="B82" s="271"/>
      <c r="C82" s="271"/>
      <c r="F82" s="271"/>
      <c r="G82" s="271"/>
      <c r="H82" s="272"/>
      <c r="I82" s="273"/>
      <c r="J82" s="274"/>
      <c r="K82">
        <f t="shared" si="7"/>
        <v>133824.31000000006</v>
      </c>
      <c r="L82">
        <v>133824.31</v>
      </c>
    </row>
    <row r="83" spans="2:12">
      <c r="B83" s="271"/>
      <c r="C83" s="271"/>
      <c r="F83" s="271"/>
      <c r="G83" s="271"/>
      <c r="H83" s="272"/>
      <c r="I83" s="273"/>
      <c r="J83" s="274"/>
      <c r="K83">
        <f t="shared" si="7"/>
        <v>133824.31000000006</v>
      </c>
      <c r="L83">
        <v>133824.31</v>
      </c>
    </row>
    <row r="84" spans="2:12">
      <c r="B84" s="271"/>
      <c r="C84" s="271"/>
      <c r="F84" s="271"/>
      <c r="G84" s="271"/>
      <c r="H84" s="272"/>
      <c r="I84" s="273"/>
      <c r="J84" s="274"/>
      <c r="K84">
        <f t="shared" si="7"/>
        <v>133824.31000000006</v>
      </c>
      <c r="L84">
        <v>133824.31</v>
      </c>
    </row>
    <row r="85" spans="2:12">
      <c r="B85" s="271"/>
      <c r="C85" s="271"/>
      <c r="F85" s="271"/>
      <c r="G85" s="271"/>
      <c r="H85" s="272"/>
      <c r="I85" s="273"/>
      <c r="J85" s="274"/>
      <c r="K85">
        <f t="shared" si="7"/>
        <v>133824.31000000006</v>
      </c>
      <c r="L85">
        <v>133824.31</v>
      </c>
    </row>
    <row r="86" spans="2:12">
      <c r="B86" s="271"/>
      <c r="C86" s="271"/>
      <c r="F86" s="271"/>
      <c r="G86" s="271"/>
      <c r="H86" s="272"/>
      <c r="I86" s="273"/>
      <c r="J86" s="274"/>
      <c r="K86">
        <f t="shared" si="7"/>
        <v>133824.31000000006</v>
      </c>
      <c r="L86">
        <v>133824.31</v>
      </c>
    </row>
    <row r="87" spans="2:12">
      <c r="B87" s="271"/>
      <c r="C87" s="271"/>
      <c r="F87" s="271"/>
      <c r="G87" s="271"/>
      <c r="H87" s="272"/>
      <c r="I87" s="273"/>
      <c r="J87" s="273"/>
      <c r="K87">
        <f t="shared" si="7"/>
        <v>133824.31000000006</v>
      </c>
      <c r="L87">
        <v>133824.31</v>
      </c>
    </row>
    <row r="88" spans="2:12">
      <c r="H88" s="272" t="e">
        <f t="shared" si="6"/>
        <v>#DIV/0!</v>
      </c>
      <c r="I88" s="273" t="e">
        <f t="shared" si="8"/>
        <v>#DIV/0!</v>
      </c>
      <c r="J88" s="273"/>
    </row>
    <row r="89" spans="2:12">
      <c r="H89" s="272" t="e">
        <f t="shared" si="6"/>
        <v>#DIV/0!</v>
      </c>
      <c r="I89" s="273" t="e">
        <f t="shared" si="8"/>
        <v>#DIV/0!</v>
      </c>
      <c r="J89" s="273"/>
    </row>
    <row r="90" spans="2:12">
      <c r="H90" s="272" t="e">
        <f t="shared" si="6"/>
        <v>#DIV/0!</v>
      </c>
      <c r="I90" s="273" t="e">
        <f t="shared" si="8"/>
        <v>#DIV/0!</v>
      </c>
      <c r="J90" s="273"/>
    </row>
    <row r="91" spans="2:12">
      <c r="H91" s="272" t="e">
        <f t="shared" si="6"/>
        <v>#DIV/0!</v>
      </c>
      <c r="I91" s="273" t="e">
        <f t="shared" si="8"/>
        <v>#DIV/0!</v>
      </c>
      <c r="J91" s="273"/>
    </row>
    <row r="92" spans="2:12">
      <c r="H92" s="272" t="e">
        <f t="shared" si="6"/>
        <v>#DIV/0!</v>
      </c>
      <c r="I92" s="273" t="e">
        <f t="shared" si="8"/>
        <v>#DIV/0!</v>
      </c>
      <c r="J92" s="273"/>
    </row>
    <row r="93" spans="2:12">
      <c r="H93" s="272" t="e">
        <f t="shared" si="6"/>
        <v>#DIV/0!</v>
      </c>
      <c r="I93" s="273" t="e">
        <f t="shared" si="8"/>
        <v>#DIV/0!</v>
      </c>
      <c r="J93" s="273"/>
    </row>
    <row r="94" spans="2:12">
      <c r="H94" s="272" t="e">
        <f t="shared" si="6"/>
        <v>#DIV/0!</v>
      </c>
      <c r="I94" s="273" t="e">
        <f t="shared" si="8"/>
        <v>#DIV/0!</v>
      </c>
      <c r="J94" s="273"/>
    </row>
    <row r="95" spans="2:12">
      <c r="H95" s="272" t="e">
        <f t="shared" si="6"/>
        <v>#DIV/0!</v>
      </c>
      <c r="I95" s="273" t="e">
        <f t="shared" si="8"/>
        <v>#DIV/0!</v>
      </c>
      <c r="J95" s="273"/>
    </row>
    <row r="96" spans="2:12">
      <c r="H96" s="272" t="e">
        <f t="shared" si="6"/>
        <v>#DIV/0!</v>
      </c>
      <c r="I96" s="273" t="e">
        <f t="shared" si="8"/>
        <v>#DIV/0!</v>
      </c>
      <c r="J96" s="273"/>
    </row>
    <row r="97" spans="8:10">
      <c r="H97" s="272" t="e">
        <f t="shared" si="6"/>
        <v>#DIV/0!</v>
      </c>
      <c r="I97" s="273" t="e">
        <f t="shared" si="8"/>
        <v>#DIV/0!</v>
      </c>
      <c r="J97" s="273"/>
    </row>
    <row r="98" spans="8:10">
      <c r="H98" s="272" t="e">
        <f t="shared" si="6"/>
        <v>#DIV/0!</v>
      </c>
      <c r="I98" s="273" t="e">
        <f t="shared" si="8"/>
        <v>#DIV/0!</v>
      </c>
      <c r="J98" s="273"/>
    </row>
    <row r="99" spans="8:10">
      <c r="H99" s="272" t="e">
        <f t="shared" si="6"/>
        <v>#DIV/0!</v>
      </c>
      <c r="I99" s="273" t="e">
        <f t="shared" si="8"/>
        <v>#DIV/0!</v>
      </c>
      <c r="J99" s="273"/>
    </row>
    <row r="100" spans="8:10">
      <c r="H100" s="272" t="e">
        <f t="shared" si="6"/>
        <v>#DIV/0!</v>
      </c>
      <c r="I100" s="273" t="e">
        <f t="shared" si="8"/>
        <v>#DIV/0!</v>
      </c>
      <c r="J100" s="273"/>
    </row>
    <row r="101" spans="8:10">
      <c r="H101" s="272" t="e">
        <f t="shared" si="6"/>
        <v>#DIV/0!</v>
      </c>
      <c r="I101" s="273" t="e">
        <f t="shared" si="8"/>
        <v>#DIV/0!</v>
      </c>
      <c r="J101" s="273"/>
    </row>
    <row r="102" spans="8:10">
      <c r="H102" s="272" t="e">
        <f t="shared" si="6"/>
        <v>#DIV/0!</v>
      </c>
      <c r="I102" s="273" t="e">
        <f t="shared" si="8"/>
        <v>#DIV/0!</v>
      </c>
      <c r="J102" s="273"/>
    </row>
    <row r="103" spans="8:10">
      <c r="H103" s="272" t="e">
        <f t="shared" si="6"/>
        <v>#DIV/0!</v>
      </c>
      <c r="I103" s="273" t="e">
        <f t="shared" si="8"/>
        <v>#DIV/0!</v>
      </c>
      <c r="J103" s="273"/>
    </row>
    <row r="104" spans="8:10">
      <c r="H104" s="272" t="e">
        <f t="shared" si="6"/>
        <v>#DIV/0!</v>
      </c>
      <c r="I104" s="273" t="e">
        <f t="shared" si="8"/>
        <v>#DIV/0!</v>
      </c>
      <c r="J104" s="273"/>
    </row>
    <row r="105" spans="8:10">
      <c r="H105" s="272" t="e">
        <f t="shared" si="6"/>
        <v>#DIV/0!</v>
      </c>
      <c r="I105" s="273" t="e">
        <f t="shared" si="8"/>
        <v>#DIV/0!</v>
      </c>
      <c r="J105" s="273"/>
    </row>
    <row r="106" spans="8:10">
      <c r="H106" s="272" t="e">
        <f t="shared" si="6"/>
        <v>#DIV/0!</v>
      </c>
      <c r="I106" s="273" t="e">
        <f t="shared" si="8"/>
        <v>#DIV/0!</v>
      </c>
      <c r="J106" s="273"/>
    </row>
    <row r="107" spans="8:10">
      <c r="H107" s="272" t="e">
        <f t="shared" si="6"/>
        <v>#DIV/0!</v>
      </c>
      <c r="I107" s="273" t="e">
        <f t="shared" si="8"/>
        <v>#DIV/0!</v>
      </c>
      <c r="J107" s="273"/>
    </row>
    <row r="108" spans="8:10">
      <c r="H108" s="272" t="e">
        <f t="shared" si="6"/>
        <v>#DIV/0!</v>
      </c>
      <c r="I108" s="273" t="e">
        <f t="shared" si="8"/>
        <v>#DIV/0!</v>
      </c>
      <c r="J108" s="273"/>
    </row>
    <row r="109" spans="8:10">
      <c r="H109" s="272" t="e">
        <f t="shared" si="6"/>
        <v>#DIV/0!</v>
      </c>
      <c r="I109" s="273" t="e">
        <f t="shared" si="8"/>
        <v>#DIV/0!</v>
      </c>
      <c r="J109" s="273"/>
    </row>
    <row r="110" spans="8:10">
      <c r="H110" s="272" t="e">
        <f t="shared" si="6"/>
        <v>#DIV/0!</v>
      </c>
      <c r="I110" s="273" t="e">
        <f t="shared" si="8"/>
        <v>#DIV/0!</v>
      </c>
      <c r="J110" s="273"/>
    </row>
    <row r="111" spans="8:10">
      <c r="H111" s="272" t="e">
        <f t="shared" si="6"/>
        <v>#DIV/0!</v>
      </c>
      <c r="I111" s="273" t="e">
        <f t="shared" si="8"/>
        <v>#DIV/0!</v>
      </c>
      <c r="J111" s="273"/>
    </row>
    <row r="112" spans="8:10">
      <c r="H112" s="272" t="e">
        <f t="shared" si="6"/>
        <v>#DIV/0!</v>
      </c>
      <c r="I112" s="273" t="e">
        <f t="shared" si="8"/>
        <v>#DIV/0!</v>
      </c>
      <c r="J112" s="273"/>
    </row>
    <row r="113" spans="8:10">
      <c r="H113" s="272" t="e">
        <f t="shared" si="6"/>
        <v>#DIV/0!</v>
      </c>
      <c r="I113" s="273" t="e">
        <f t="shared" si="8"/>
        <v>#DIV/0!</v>
      </c>
      <c r="J113" s="273"/>
    </row>
    <row r="114" spans="8:10">
      <c r="H114" s="272" t="e">
        <f t="shared" si="6"/>
        <v>#DIV/0!</v>
      </c>
      <c r="I114" s="273" t="e">
        <f t="shared" si="8"/>
        <v>#DIV/0!</v>
      </c>
      <c r="J114" s="273"/>
    </row>
    <row r="115" spans="8:10">
      <c r="H115" s="272" t="e">
        <f t="shared" si="6"/>
        <v>#DIV/0!</v>
      </c>
      <c r="I115" s="273" t="e">
        <f t="shared" si="8"/>
        <v>#DIV/0!</v>
      </c>
      <c r="J115" s="273"/>
    </row>
    <row r="116" spans="8:10">
      <c r="H116" s="272" t="e">
        <f t="shared" si="6"/>
        <v>#DIV/0!</v>
      </c>
      <c r="I116" s="273" t="e">
        <f t="shared" si="8"/>
        <v>#DIV/0!</v>
      </c>
      <c r="J116" s="273"/>
    </row>
  </sheetData>
  <autoFilter ref="B8:G116" xr:uid="{5F507345-E482-494F-86A8-51582066BAC8}">
    <sortState ref="B9:G116">
      <sortCondition descending="1" ref="G8:G116"/>
    </sortState>
  </autoFilter>
  <mergeCells count="12">
    <mergeCell ref="J9:J15"/>
    <mergeCell ref="J16:J32"/>
    <mergeCell ref="J33:J79"/>
    <mergeCell ref="B2:J2"/>
    <mergeCell ref="B4:J4"/>
    <mergeCell ref="B6:B7"/>
    <mergeCell ref="C6:C7"/>
    <mergeCell ref="D6:D7"/>
    <mergeCell ref="E6:E7"/>
    <mergeCell ref="F6:G6"/>
    <mergeCell ref="H6:H7"/>
    <mergeCell ref="I6:I7"/>
  </mergeCells>
  <pageMargins left="0.511811024" right="0.511811024" top="0.78740157499999996" bottom="0.78740157499999996" header="0.31496062000000002" footer="0.31496062000000002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52"/>
  <sheetViews>
    <sheetView view="pageBreakPreview" topLeftCell="A31" zoomScale="115" zoomScaleNormal="100" zoomScaleSheetLayoutView="115" workbookViewId="0">
      <selection activeCell="F39" sqref="F39:F42"/>
    </sheetView>
  </sheetViews>
  <sheetFormatPr defaultColWidth="9.140625" defaultRowHeight="15"/>
  <cols>
    <col min="1" max="1" width="5.85546875" style="221" customWidth="1"/>
    <col min="2" max="2" width="23.7109375" style="11" customWidth="1"/>
    <col min="3" max="5" width="9" style="11" customWidth="1"/>
    <col min="6" max="6" width="12.5703125" style="222" customWidth="1"/>
    <col min="7" max="7" width="9.42578125" style="223" customWidth="1"/>
    <col min="8" max="16384" width="9.140625" style="224"/>
  </cols>
  <sheetData>
    <row r="1" spans="1:10" ht="15" customHeight="1">
      <c r="A1" s="310" t="s">
        <v>197</v>
      </c>
      <c r="B1" s="311"/>
      <c r="C1" s="311"/>
      <c r="D1" s="311"/>
      <c r="E1" s="311"/>
      <c r="F1" s="312"/>
      <c r="G1" s="225"/>
    </row>
    <row r="2" spans="1:10" ht="3.6" customHeight="1">
      <c r="A2" s="226"/>
      <c r="B2" s="1"/>
      <c r="C2" s="1"/>
      <c r="D2" s="1"/>
      <c r="E2" s="1"/>
      <c r="F2" s="227"/>
    </row>
    <row r="3" spans="1:10" ht="29.1" customHeight="1">
      <c r="A3" s="281" t="str">
        <f>'PB III - Planilha Orçamentaria'!A4:G4</f>
        <v xml:space="preserve">OBRA: REFORMA DO PRÉDIO DA DEFENSORIA PÚBLICA DO ESTADO DE RORAIMA NO MUNICÍPIO DE CARACARAÍ  - DPE/RR </v>
      </c>
      <c r="B3" s="282"/>
      <c r="C3" s="282"/>
      <c r="D3" s="282"/>
      <c r="E3" s="282"/>
      <c r="F3" s="313"/>
      <c r="G3" s="228"/>
    </row>
    <row r="4" spans="1:10" ht="3.75" customHeight="1">
      <c r="A4" s="97"/>
      <c r="B4" s="97"/>
      <c r="C4" s="97"/>
      <c r="D4" s="97"/>
      <c r="E4" s="97"/>
      <c r="F4" s="227"/>
      <c r="G4" s="97"/>
    </row>
    <row r="5" spans="1:10" ht="28.5" customHeight="1">
      <c r="A5" s="314" t="str">
        <f>'PB III - Planilha Orçamentaria'!A6:G6</f>
        <v>ENDEREÇO:Av Dr. Zany, Bairro: Santa Luzia</v>
      </c>
      <c r="B5" s="315"/>
      <c r="C5" s="315"/>
      <c r="D5" s="315"/>
      <c r="E5" s="315"/>
      <c r="F5" s="316"/>
      <c r="G5" s="229"/>
    </row>
    <row r="6" spans="1:10" ht="3" customHeight="1">
      <c r="A6" s="226"/>
      <c r="B6" s="1"/>
      <c r="C6" s="1"/>
      <c r="D6" s="1"/>
      <c r="E6" s="1"/>
      <c r="F6" s="227"/>
    </row>
    <row r="7" spans="1:10" ht="13.5" customHeight="1">
      <c r="A7" s="157" t="s">
        <v>6</v>
      </c>
      <c r="B7" s="230" t="s">
        <v>198</v>
      </c>
      <c r="C7" s="157" t="s">
        <v>199</v>
      </c>
      <c r="D7" s="157" t="s">
        <v>200</v>
      </c>
      <c r="E7" s="157" t="s">
        <v>201</v>
      </c>
      <c r="F7" s="157" t="s">
        <v>202</v>
      </c>
    </row>
    <row r="8" spans="1:10" ht="3.6" customHeight="1">
      <c r="A8" s="231"/>
      <c r="B8" s="232"/>
      <c r="C8" s="232"/>
      <c r="D8" s="232"/>
      <c r="E8" s="232"/>
      <c r="F8" s="233"/>
    </row>
    <row r="9" spans="1:10" ht="11.25" customHeight="1">
      <c r="A9" s="317">
        <v>1</v>
      </c>
      <c r="B9" s="303" t="s">
        <v>12</v>
      </c>
      <c r="C9" s="234">
        <v>1</v>
      </c>
      <c r="D9" s="235"/>
      <c r="E9" s="235"/>
      <c r="F9" s="297">
        <f>'PB III - Planilha Orçamentaria'!G11</f>
        <v>1556.75</v>
      </c>
    </row>
    <row r="10" spans="1:10" ht="11.25" customHeight="1">
      <c r="A10" s="317"/>
      <c r="B10" s="303"/>
      <c r="C10" s="236">
        <f>IF((C9*$F$9=0)," ",ROUND(C9*$F$9,2))</f>
        <v>1556.75</v>
      </c>
      <c r="D10" s="237"/>
      <c r="E10" s="237"/>
      <c r="F10" s="298"/>
      <c r="G10" s="238"/>
    </row>
    <row r="11" spans="1:10" ht="8.4499999999999993" customHeight="1">
      <c r="A11" s="317"/>
      <c r="B11" s="303"/>
      <c r="C11" s="239"/>
      <c r="D11" s="240"/>
      <c r="E11" s="240"/>
      <c r="F11" s="299"/>
    </row>
    <row r="12" spans="1:10" ht="11.25" customHeight="1">
      <c r="A12" s="317">
        <v>2</v>
      </c>
      <c r="B12" s="303" t="s">
        <v>19</v>
      </c>
      <c r="C12" s="241">
        <v>0.5</v>
      </c>
      <c r="D12" s="241">
        <v>0.5</v>
      </c>
      <c r="E12" s="242"/>
      <c r="F12" s="300">
        <f>'PB III - Planilha Orçamentaria'!G15</f>
        <v>15607.48</v>
      </c>
    </row>
    <row r="13" spans="1:10" ht="11.25" customHeight="1">
      <c r="A13" s="317"/>
      <c r="B13" s="303"/>
      <c r="C13" s="236">
        <f>IF((C12*$F$12=0)," ",ROUND(C12*$F$12,2))</f>
        <v>7803.74</v>
      </c>
      <c r="D13" s="236">
        <f>IF((D12*$F$12=0)," ",ROUND(D12*$F$12,2))</f>
        <v>7803.74</v>
      </c>
      <c r="E13" s="237"/>
      <c r="F13" s="301"/>
      <c r="G13" s="238"/>
    </row>
    <row r="14" spans="1:10" ht="8.4499999999999993" customHeight="1">
      <c r="A14" s="317"/>
      <c r="B14" s="303"/>
      <c r="C14" s="243"/>
      <c r="D14" s="243"/>
      <c r="E14" s="244"/>
      <c r="F14" s="302"/>
    </row>
    <row r="15" spans="1:10" s="220" customFormat="1" ht="10.5" customHeight="1">
      <c r="A15" s="317">
        <v>3</v>
      </c>
      <c r="B15" s="295" t="s">
        <v>31</v>
      </c>
      <c r="C15" s="245">
        <v>1</v>
      </c>
      <c r="D15" s="246"/>
      <c r="E15" s="246"/>
      <c r="F15" s="300">
        <f>'PB III - Planilha Orçamentaria'!G22</f>
        <v>1669.04</v>
      </c>
      <c r="G15" s="247"/>
      <c r="H15" s="248"/>
      <c r="I15" s="248"/>
      <c r="J15" s="248"/>
    </row>
    <row r="16" spans="1:10" s="220" customFormat="1" ht="12" customHeight="1">
      <c r="A16" s="317"/>
      <c r="B16" s="295"/>
      <c r="C16" s="249">
        <f>IF((C15*$F$15=0)," ",ROUND(C15*$F$15,2))</f>
        <v>1669.04</v>
      </c>
      <c r="D16" s="250"/>
      <c r="E16" s="250"/>
      <c r="F16" s="301"/>
      <c r="G16" s="247"/>
      <c r="H16" s="248"/>
      <c r="I16" s="248"/>
      <c r="J16" s="248"/>
    </row>
    <row r="17" spans="1:10" s="220" customFormat="1" ht="9.75" customHeight="1">
      <c r="A17" s="317"/>
      <c r="B17" s="295"/>
      <c r="C17" s="251"/>
      <c r="D17" s="252"/>
      <c r="E17" s="252"/>
      <c r="F17" s="302"/>
      <c r="G17" s="247"/>
      <c r="H17" s="248"/>
      <c r="I17" s="248"/>
      <c r="J17" s="248"/>
    </row>
    <row r="18" spans="1:10">
      <c r="A18" s="317">
        <v>4</v>
      </c>
      <c r="B18" s="295" t="s">
        <v>203</v>
      </c>
      <c r="C18" s="245">
        <v>0.6</v>
      </c>
      <c r="D18" s="245">
        <v>0.2</v>
      </c>
      <c r="E18" s="245">
        <v>0.2</v>
      </c>
      <c r="F18" s="300">
        <f>'PB III - Planilha Orçamentaria'!G31</f>
        <v>14304.480000000001</v>
      </c>
      <c r="H18" s="253"/>
      <c r="I18" s="253"/>
      <c r="J18" s="253"/>
    </row>
    <row r="19" spans="1:10">
      <c r="A19" s="317"/>
      <c r="B19" s="295"/>
      <c r="C19" s="249">
        <f>IF((C18*$F$18=0)," ",ROUND(C18*$F$18,2))</f>
        <v>8582.69</v>
      </c>
      <c r="D19" s="249">
        <f>IF((D18*$F$18=0)," ",ROUND(D18*$F$18,2))</f>
        <v>2860.9</v>
      </c>
      <c r="E19" s="249">
        <f>IF((E18*$F$18=0)," ",ROUND(E18*$F$18,2))</f>
        <v>2860.9</v>
      </c>
      <c r="F19" s="301"/>
      <c r="H19" s="253"/>
      <c r="I19" s="253"/>
      <c r="J19" s="253"/>
    </row>
    <row r="20" spans="1:10" ht="9" customHeight="1">
      <c r="A20" s="317"/>
      <c r="B20" s="295"/>
      <c r="C20" s="251"/>
      <c r="D20" s="251"/>
      <c r="E20" s="251"/>
      <c r="F20" s="302"/>
      <c r="H20" s="253"/>
      <c r="I20" s="253"/>
      <c r="J20" s="253"/>
    </row>
    <row r="21" spans="1:10">
      <c r="A21" s="317">
        <v>5</v>
      </c>
      <c r="B21" s="296" t="s">
        <v>204</v>
      </c>
      <c r="C21" s="245">
        <v>1</v>
      </c>
      <c r="D21" s="246"/>
      <c r="E21" s="246"/>
      <c r="F21" s="300">
        <f>'PB III - Planilha Orçamentaria'!G71</f>
        <v>1911.63</v>
      </c>
      <c r="H21" s="253"/>
      <c r="I21" s="253"/>
      <c r="J21" s="253"/>
    </row>
    <row r="22" spans="1:10">
      <c r="A22" s="317"/>
      <c r="B22" s="296"/>
      <c r="C22" s="249">
        <f>IF((C21*$F$21=0)," ",ROUND(C21*$F$21,2))</f>
        <v>1911.63</v>
      </c>
      <c r="D22" s="250"/>
      <c r="E22" s="250"/>
      <c r="F22" s="301"/>
      <c r="H22" s="253"/>
      <c r="I22" s="253"/>
      <c r="J22" s="253"/>
    </row>
    <row r="23" spans="1:10" ht="9" customHeight="1">
      <c r="A23" s="317"/>
      <c r="B23" s="296"/>
      <c r="C23" s="251"/>
      <c r="D23" s="252"/>
      <c r="E23" s="252"/>
      <c r="F23" s="302"/>
      <c r="H23" s="253"/>
      <c r="I23" s="253"/>
      <c r="J23" s="253"/>
    </row>
    <row r="24" spans="1:10">
      <c r="A24" s="317">
        <v>6</v>
      </c>
      <c r="B24" s="295" t="s">
        <v>146</v>
      </c>
      <c r="C24" s="245">
        <v>1</v>
      </c>
      <c r="D24" s="246"/>
      <c r="E24" s="246"/>
      <c r="F24" s="300">
        <f>'PB III - Planilha Orçamentaria'!G88</f>
        <v>2321.2800000000002</v>
      </c>
      <c r="H24" s="253"/>
      <c r="I24" s="253"/>
      <c r="J24" s="253"/>
    </row>
    <row r="25" spans="1:10">
      <c r="A25" s="317"/>
      <c r="B25" s="295"/>
      <c r="C25" s="249">
        <f>IF((C24*$F$24=0)," ",ROUND(C24*$F$24,2))</f>
        <v>2321.2800000000002</v>
      </c>
      <c r="D25" s="250"/>
      <c r="E25" s="250"/>
      <c r="F25" s="301"/>
      <c r="H25" s="253"/>
      <c r="I25" s="253"/>
      <c r="J25" s="253"/>
    </row>
    <row r="26" spans="1:10">
      <c r="A26" s="317"/>
      <c r="B26" s="295"/>
      <c r="C26" s="251"/>
      <c r="D26" s="252"/>
      <c r="E26" s="252"/>
      <c r="F26" s="302"/>
      <c r="H26" s="253"/>
      <c r="I26" s="253"/>
      <c r="J26" s="253"/>
    </row>
    <row r="27" spans="1:10">
      <c r="A27" s="317">
        <v>7</v>
      </c>
      <c r="B27" s="295" t="s">
        <v>151</v>
      </c>
      <c r="C27" s="245">
        <v>0.15</v>
      </c>
      <c r="D27" s="245">
        <v>0.75</v>
      </c>
      <c r="E27" s="245">
        <v>0.1</v>
      </c>
      <c r="F27" s="300">
        <f>'PB III - Planilha Orçamentaria'!G92</f>
        <v>16269.89</v>
      </c>
      <c r="H27" s="253"/>
      <c r="I27" s="253"/>
      <c r="J27" s="253"/>
    </row>
    <row r="28" spans="1:10">
      <c r="A28" s="317"/>
      <c r="B28" s="295"/>
      <c r="C28" s="249">
        <f>IF((C27*$F$27=0)," ",ROUND(C27*$F$27,2))</f>
        <v>2440.48</v>
      </c>
      <c r="D28" s="249">
        <f>IF((D27*$F$27=0)," ",ROUND(D27*$F$27,2))</f>
        <v>12202.42</v>
      </c>
      <c r="E28" s="249">
        <f>IF((E27*$F$27=0)," ",ROUND(E27*$F$27,2))</f>
        <v>1626.99</v>
      </c>
      <c r="F28" s="301"/>
      <c r="H28" s="253"/>
      <c r="I28" s="253"/>
      <c r="J28" s="253"/>
    </row>
    <row r="29" spans="1:10">
      <c r="A29" s="317"/>
      <c r="B29" s="295"/>
      <c r="C29" s="251"/>
      <c r="D29" s="251"/>
      <c r="E29" s="251"/>
      <c r="F29" s="302"/>
      <c r="H29" s="253"/>
      <c r="I29" s="253"/>
      <c r="J29" s="253"/>
    </row>
    <row r="30" spans="1:10">
      <c r="A30" s="317">
        <v>8</v>
      </c>
      <c r="B30" s="296" t="s">
        <v>205</v>
      </c>
      <c r="C30" s="254"/>
      <c r="D30" s="245">
        <v>1</v>
      </c>
      <c r="E30" s="246"/>
      <c r="F30" s="300">
        <f>'PB III - Planilha Orçamentaria'!G102</f>
        <v>1386.0700000000002</v>
      </c>
      <c r="H30" s="253"/>
      <c r="I30" s="253"/>
      <c r="J30" s="253"/>
    </row>
    <row r="31" spans="1:10">
      <c r="A31" s="317"/>
      <c r="B31" s="296"/>
      <c r="C31" s="250"/>
      <c r="D31" s="249">
        <f>IF((D30*$F$30=0)," ",ROUND(D30*$F$30,2))</f>
        <v>1386.07</v>
      </c>
      <c r="E31" s="250"/>
      <c r="F31" s="301"/>
      <c r="H31" s="253"/>
      <c r="I31" s="253"/>
      <c r="J31" s="253"/>
    </row>
    <row r="32" spans="1:10" ht="13.5" customHeight="1">
      <c r="A32" s="317"/>
      <c r="B32" s="296"/>
      <c r="C32" s="252"/>
      <c r="D32" s="251"/>
      <c r="E32" s="252"/>
      <c r="F32" s="302"/>
      <c r="H32" s="253"/>
      <c r="I32" s="253"/>
      <c r="J32" s="253"/>
    </row>
    <row r="33" spans="1:10">
      <c r="A33" s="317">
        <v>9</v>
      </c>
      <c r="B33" s="296" t="s">
        <v>206</v>
      </c>
      <c r="C33" s="245"/>
      <c r="D33" s="255"/>
      <c r="E33" s="255">
        <v>1</v>
      </c>
      <c r="F33" s="300">
        <f>'PB III - Planilha Orçamentaria'!G118</f>
        <v>62537</v>
      </c>
    </row>
    <row r="34" spans="1:10">
      <c r="A34" s="317"/>
      <c r="B34" s="296"/>
      <c r="C34" s="249"/>
      <c r="D34" s="249"/>
      <c r="E34" s="249">
        <f>IF((E33*$F$33=0)," ",ROUND(E33*$F$33,2))</f>
        <v>62537</v>
      </c>
      <c r="F34" s="301"/>
    </row>
    <row r="35" spans="1:10">
      <c r="A35" s="317"/>
      <c r="B35" s="296"/>
      <c r="C35" s="249"/>
      <c r="D35" s="249"/>
      <c r="E35" s="251"/>
      <c r="F35" s="302"/>
    </row>
    <row r="36" spans="1:10">
      <c r="A36" s="317">
        <v>10</v>
      </c>
      <c r="B36" s="296" t="s">
        <v>184</v>
      </c>
      <c r="C36" s="245">
        <v>0.22359999999999999</v>
      </c>
      <c r="D36" s="255">
        <v>0.20630000000000001</v>
      </c>
      <c r="E36" s="255">
        <v>0.57010000000000005</v>
      </c>
      <c r="F36" s="300">
        <f>'PB III - Planilha Orçamentaria'!G110</f>
        <v>16260.69</v>
      </c>
      <c r="H36" s="253"/>
      <c r="I36" s="253"/>
      <c r="J36" s="253"/>
    </row>
    <row r="37" spans="1:10">
      <c r="A37" s="317"/>
      <c r="B37" s="296"/>
      <c r="C37" s="249">
        <f>IF((C36*$F$36=0)," ",ROUND(C36*$F$36,2))</f>
        <v>3635.89</v>
      </c>
      <c r="D37" s="249">
        <f>IF((D36*$F$36=0)," ",ROUND(D36*$F$36,2))</f>
        <v>3354.58</v>
      </c>
      <c r="E37" s="249">
        <f>IF((E36*$F$36=0)," ",ROUND(E36*$F$36,2))+0.01</f>
        <v>9270.23</v>
      </c>
      <c r="F37" s="301"/>
      <c r="H37" s="253"/>
      <c r="I37" s="253"/>
      <c r="J37" s="253"/>
    </row>
    <row r="38" spans="1:10">
      <c r="A38" s="317"/>
      <c r="B38" s="296"/>
      <c r="C38" s="251"/>
      <c r="D38" s="251"/>
      <c r="E38" s="251"/>
      <c r="F38" s="302"/>
      <c r="H38" s="253"/>
      <c r="I38" s="253"/>
      <c r="J38" s="253"/>
    </row>
    <row r="39" spans="1:10" ht="11.25" customHeight="1">
      <c r="A39" s="304" t="s">
        <v>207</v>
      </c>
      <c r="B39" s="304"/>
      <c r="C39" s="256">
        <f>ROUND(SUM(C10,C13,C16,C19,C22,C25,C28,C31,C34,C37)/$F$39,4)</f>
        <v>0.22359999999999999</v>
      </c>
      <c r="D39" s="256">
        <f>ROUND(SUM(D10,D13,D16,D19,D22,D25,D28,D31,D34,D37)/$F$39,4)</f>
        <v>0.20630000000000001</v>
      </c>
      <c r="E39" s="256">
        <f>ROUND(SUM(E10,E13,E16,E19,E22,E25,E28,E31,E34,E37)/$F$39,4)</f>
        <v>0.57010000000000005</v>
      </c>
      <c r="F39" s="300">
        <f>SUM(F9:F38)</f>
        <v>133824.31</v>
      </c>
      <c r="H39" s="253"/>
      <c r="I39" s="253"/>
      <c r="J39" s="253"/>
    </row>
    <row r="40" spans="1:10" ht="11.25" customHeight="1">
      <c r="A40" s="304" t="s">
        <v>208</v>
      </c>
      <c r="B40" s="304"/>
      <c r="C40" s="256">
        <f>C39</f>
        <v>0.22359999999999999</v>
      </c>
      <c r="D40" s="256">
        <f>D39+C40</f>
        <v>0.4299</v>
      </c>
      <c r="E40" s="256">
        <f>E39+D40</f>
        <v>1</v>
      </c>
      <c r="F40" s="301"/>
      <c r="H40" s="253"/>
      <c r="I40" s="264"/>
      <c r="J40" s="253"/>
    </row>
    <row r="41" spans="1:10" ht="11.25" customHeight="1">
      <c r="A41" s="304" t="s">
        <v>209</v>
      </c>
      <c r="B41" s="304"/>
      <c r="C41" s="257">
        <f>ROUND(C39*$F$39,2)</f>
        <v>29923.119999999999</v>
      </c>
      <c r="D41" s="257">
        <f>ROUND(D39*$F$39,2)</f>
        <v>27607.96</v>
      </c>
      <c r="E41" s="257">
        <f>ROUND(E39*$F$39,2)</f>
        <v>76293.240000000005</v>
      </c>
      <c r="F41" s="301"/>
      <c r="H41" s="253"/>
      <c r="I41" s="253"/>
      <c r="J41" s="253"/>
    </row>
    <row r="42" spans="1:10" ht="11.25" customHeight="1">
      <c r="A42" s="304" t="s">
        <v>210</v>
      </c>
      <c r="B42" s="304"/>
      <c r="C42" s="257">
        <f>C41</f>
        <v>29923.119999999999</v>
      </c>
      <c r="D42" s="257">
        <f>C42+D41</f>
        <v>57531.08</v>
      </c>
      <c r="E42" s="257">
        <f>D42+E41-0.01</f>
        <v>133824.31</v>
      </c>
      <c r="F42" s="302"/>
      <c r="H42" s="253"/>
      <c r="I42" s="265"/>
      <c r="J42" s="253"/>
    </row>
    <row r="43" spans="1:10">
      <c r="A43" s="305"/>
      <c r="B43" s="305"/>
      <c r="C43" s="305"/>
      <c r="D43" s="305"/>
      <c r="E43" s="305"/>
      <c r="F43" s="306"/>
    </row>
    <row r="44" spans="1:10">
      <c r="A44" s="295" t="s">
        <v>211</v>
      </c>
      <c r="B44" s="295"/>
      <c r="C44" s="295"/>
      <c r="D44" s="295"/>
      <c r="E44" s="295"/>
      <c r="F44" s="307"/>
    </row>
    <row r="45" spans="1:10">
      <c r="A45" s="308"/>
      <c r="B45" s="308"/>
      <c r="C45" s="308"/>
      <c r="D45" s="308"/>
      <c r="E45" s="308"/>
      <c r="F45" s="309"/>
    </row>
    <row r="48" spans="1:10">
      <c r="C48" s="258"/>
      <c r="D48" s="258"/>
      <c r="E48" s="258"/>
      <c r="F48" s="259"/>
    </row>
    <row r="49" spans="2:6">
      <c r="B49" s="260"/>
      <c r="C49" s="261"/>
      <c r="D49" s="261"/>
      <c r="E49" s="261"/>
      <c r="F49" s="262"/>
    </row>
    <row r="50" spans="2:6">
      <c r="B50" s="260"/>
      <c r="C50" s="263"/>
      <c r="D50" s="263"/>
      <c r="E50" s="263"/>
      <c r="F50" s="262"/>
    </row>
    <row r="51" spans="2:6">
      <c r="B51" s="260"/>
      <c r="C51" s="261"/>
      <c r="D51" s="261"/>
      <c r="E51" s="261"/>
      <c r="F51" s="262"/>
    </row>
    <row r="52" spans="2:6">
      <c r="B52" s="260"/>
      <c r="C52" s="260"/>
      <c r="D52" s="260"/>
      <c r="E52" s="260"/>
    </row>
  </sheetData>
  <mergeCells count="41">
    <mergeCell ref="B9:B11"/>
    <mergeCell ref="A43:F43"/>
    <mergeCell ref="A44:F44"/>
    <mergeCell ref="A45:F45"/>
    <mergeCell ref="F39:F42"/>
    <mergeCell ref="A1:F1"/>
    <mergeCell ref="A3:F3"/>
    <mergeCell ref="A5:F5"/>
    <mergeCell ref="A39:B39"/>
    <mergeCell ref="A40:B40"/>
    <mergeCell ref="A9:A11"/>
    <mergeCell ref="A12:A14"/>
    <mergeCell ref="A15:A17"/>
    <mergeCell ref="A18:A20"/>
    <mergeCell ref="A21:A23"/>
    <mergeCell ref="A24:A26"/>
    <mergeCell ref="A27:A29"/>
    <mergeCell ref="B18:B20"/>
    <mergeCell ref="B21:B23"/>
    <mergeCell ref="B24:B26"/>
    <mergeCell ref="A41:B41"/>
    <mergeCell ref="A42:B42"/>
    <mergeCell ref="A30:A32"/>
    <mergeCell ref="A33:A35"/>
    <mergeCell ref="A36:A38"/>
    <mergeCell ref="B27:B29"/>
    <mergeCell ref="B30:B32"/>
    <mergeCell ref="B33:B35"/>
    <mergeCell ref="B36:B3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B12:B14"/>
    <mergeCell ref="B15:B17"/>
  </mergeCells>
  <printOptions horizontalCentered="1"/>
  <pageMargins left="0.196527777777778" right="0.196527777777778" top="1.4166666666666701" bottom="0.39305555555555599" header="0" footer="0"/>
  <pageSetup paperSize="9" scale="99" orientation="portrait" r:id="rId1"/>
  <headerFooter>
    <oddHeader>&amp;C&amp;9
&amp;G
DEFENSORIA PÚBLICA DO ESTADO DE RORAIMA
“Amazônia: Patrimônio dos brasileiros”
____________________________________________________________________________________________________</oddHeader>
    <oddFooter>&amp;C&amp;"Arial,Normal"&amp;9Página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K102"/>
  <sheetViews>
    <sheetView view="pageBreakPreview" topLeftCell="A46" zoomScaleNormal="90" zoomScaleSheetLayoutView="100" workbookViewId="0">
      <selection activeCell="D100" sqref="D100"/>
    </sheetView>
  </sheetViews>
  <sheetFormatPr defaultColWidth="9.140625" defaultRowHeight="15"/>
  <cols>
    <col min="1" max="1" width="35.5703125" style="167" customWidth="1"/>
    <col min="2" max="2" width="12" style="167" customWidth="1"/>
    <col min="3" max="3" width="11.7109375" style="167" customWidth="1"/>
    <col min="4" max="4" width="10.5703125" style="167" customWidth="1"/>
    <col min="5" max="5" width="10.7109375" style="167" customWidth="1"/>
    <col min="6" max="6" width="12.5703125" style="167" customWidth="1"/>
    <col min="7" max="7" width="9.140625" style="167" customWidth="1"/>
    <col min="8" max="16384" width="9.140625" style="168"/>
  </cols>
  <sheetData>
    <row r="1" spans="1:8">
      <c r="A1" s="310" t="s">
        <v>212</v>
      </c>
      <c r="B1" s="311"/>
      <c r="C1" s="311"/>
      <c r="D1" s="311"/>
      <c r="E1" s="311"/>
      <c r="F1" s="311"/>
      <c r="G1" s="335"/>
      <c r="H1" s="169"/>
    </row>
    <row r="2" spans="1:8" ht="4.5" customHeight="1">
      <c r="A2" s="97"/>
      <c r="B2" s="97"/>
      <c r="C2" s="97"/>
      <c r="D2" s="97"/>
      <c r="E2" s="97"/>
      <c r="F2" s="97"/>
      <c r="G2" s="97"/>
    </row>
    <row r="3" spans="1:8" ht="24" customHeight="1">
      <c r="A3" s="281" t="str">
        <f>'PB III - Planilha Orçamentaria'!A4:G4</f>
        <v xml:space="preserve">OBRA: REFORMA DO PRÉDIO DA DEFENSORIA PÚBLICA DO ESTADO DE RORAIMA NO MUNICÍPIO DE CARACARAÍ  - DPE/RR </v>
      </c>
      <c r="B3" s="282"/>
      <c r="C3" s="282"/>
      <c r="D3" s="282"/>
      <c r="E3" s="282"/>
      <c r="F3" s="282"/>
      <c r="G3" s="283"/>
    </row>
    <row r="4" spans="1:8" ht="4.5" customHeight="1">
      <c r="A4" s="97"/>
      <c r="B4" s="97"/>
      <c r="C4" s="97"/>
      <c r="D4" s="97"/>
      <c r="E4" s="97"/>
      <c r="F4" s="97"/>
      <c r="G4" s="97"/>
    </row>
    <row r="5" spans="1:8">
      <c r="A5" s="336" t="str">
        <f>'PB III - Planilha Orçamentaria'!A6:G6</f>
        <v>ENDEREÇO:Av Dr. Zany, Bairro: Santa Luzia</v>
      </c>
      <c r="B5" s="337"/>
      <c r="C5" s="337"/>
      <c r="D5" s="337"/>
      <c r="E5" s="337"/>
      <c r="F5" s="337"/>
      <c r="G5" s="338"/>
    </row>
    <row r="6" spans="1:8" ht="4.3499999999999996" customHeight="1">
      <c r="A6" s="170"/>
      <c r="B6" s="170"/>
      <c r="C6" s="170"/>
      <c r="D6" s="170"/>
      <c r="E6" s="170"/>
      <c r="F6" s="170"/>
      <c r="G6" s="170"/>
    </row>
    <row r="7" spans="1:8">
      <c r="A7" s="318" t="s">
        <v>213</v>
      </c>
      <c r="B7" s="319"/>
      <c r="C7" s="319"/>
      <c r="D7" s="319"/>
      <c r="E7" s="319"/>
      <c r="F7" s="319"/>
      <c r="G7" s="320"/>
    </row>
    <row r="8" spans="1:8">
      <c r="A8" s="171" t="s">
        <v>214</v>
      </c>
      <c r="B8" s="172"/>
      <c r="C8" s="172"/>
      <c r="D8" s="172"/>
      <c r="E8" s="172"/>
      <c r="F8" s="172"/>
      <c r="G8" s="173" t="s">
        <v>215</v>
      </c>
    </row>
    <row r="9" spans="1:8">
      <c r="A9" s="174" t="s">
        <v>216</v>
      </c>
      <c r="B9" s="175"/>
      <c r="C9" s="175"/>
      <c r="D9" s="175"/>
      <c r="E9" s="175"/>
      <c r="F9" s="175"/>
      <c r="G9" s="175">
        <v>231.3</v>
      </c>
    </row>
    <row r="10" spans="1:8">
      <c r="A10" s="174" t="s">
        <v>217</v>
      </c>
      <c r="B10" s="175"/>
      <c r="C10" s="175"/>
      <c r="D10" s="175"/>
      <c r="E10" s="175"/>
      <c r="F10" s="175"/>
      <c r="G10" s="175">
        <v>918</v>
      </c>
    </row>
    <row r="11" spans="1:8">
      <c r="A11" s="321"/>
      <c r="B11" s="339"/>
      <c r="C11" s="339"/>
      <c r="D11" s="339"/>
      <c r="E11" s="339"/>
      <c r="F11" s="339"/>
      <c r="G11" s="322"/>
    </row>
    <row r="12" spans="1:8">
      <c r="A12" s="170"/>
      <c r="B12" s="170"/>
      <c r="C12" s="170"/>
      <c r="D12" s="170"/>
      <c r="E12" s="170"/>
      <c r="F12" s="170"/>
      <c r="G12" s="170"/>
    </row>
    <row r="13" spans="1:8">
      <c r="A13" s="318" t="s">
        <v>218</v>
      </c>
      <c r="B13" s="319"/>
      <c r="C13" s="319"/>
      <c r="D13" s="319"/>
      <c r="E13" s="319"/>
      <c r="F13" s="319"/>
      <c r="G13" s="320"/>
    </row>
    <row r="14" spans="1:8">
      <c r="A14" s="171" t="s">
        <v>214</v>
      </c>
      <c r="B14" s="172"/>
      <c r="C14" s="172"/>
      <c r="D14" s="172" t="s">
        <v>219</v>
      </c>
      <c r="E14" s="172" t="s">
        <v>220</v>
      </c>
      <c r="F14" s="172"/>
      <c r="G14" s="173" t="s">
        <v>202</v>
      </c>
    </row>
    <row r="15" spans="1:8">
      <c r="A15" s="174" t="s">
        <v>221</v>
      </c>
      <c r="B15" s="175"/>
      <c r="C15" s="175"/>
      <c r="D15" s="175">
        <v>1.8</v>
      </c>
      <c r="E15" s="175">
        <v>2.88</v>
      </c>
      <c r="F15" s="175"/>
      <c r="G15" s="175">
        <f>ROUND(D15*E15,2)</f>
        <v>5.18</v>
      </c>
    </row>
    <row r="16" spans="1:8">
      <c r="A16" s="174"/>
      <c r="B16" s="175"/>
      <c r="C16" s="175"/>
      <c r="D16" s="175"/>
      <c r="E16" s="175"/>
      <c r="F16" s="175"/>
      <c r="G16" s="175"/>
    </row>
    <row r="17" spans="1:7" ht="10.5" customHeight="1">
      <c r="A17" s="176"/>
      <c r="B17" s="176"/>
      <c r="C17" s="176"/>
      <c r="D17" s="176"/>
      <c r="E17" s="176"/>
      <c r="F17" s="176"/>
      <c r="G17" s="176"/>
    </row>
    <row r="18" spans="1:7">
      <c r="A18" s="318" t="s">
        <v>222</v>
      </c>
      <c r="B18" s="319"/>
      <c r="C18" s="319"/>
      <c r="D18" s="319"/>
      <c r="E18" s="319"/>
      <c r="F18" s="319"/>
      <c r="G18" s="320"/>
    </row>
    <row r="19" spans="1:7">
      <c r="A19" s="171" t="s">
        <v>214</v>
      </c>
      <c r="B19" s="172" t="s">
        <v>219</v>
      </c>
      <c r="C19" s="172" t="s">
        <v>220</v>
      </c>
      <c r="D19" s="172" t="s">
        <v>223</v>
      </c>
      <c r="E19" s="172" t="s">
        <v>224</v>
      </c>
      <c r="F19" s="172"/>
      <c r="G19" s="173" t="s">
        <v>202</v>
      </c>
    </row>
    <row r="20" spans="1:7">
      <c r="A20" s="177" t="s">
        <v>225</v>
      </c>
      <c r="B20" s="175"/>
      <c r="C20" s="175"/>
      <c r="D20" s="175"/>
      <c r="E20" s="175"/>
      <c r="F20" s="175"/>
      <c r="G20" s="175"/>
    </row>
    <row r="21" spans="1:7">
      <c r="A21" s="174" t="s">
        <v>226</v>
      </c>
      <c r="B21" s="178">
        <v>10.58</v>
      </c>
      <c r="C21" s="178">
        <f>2.9</f>
        <v>2.9</v>
      </c>
      <c r="D21" s="178">
        <v>6.9</v>
      </c>
      <c r="E21" s="178">
        <v>1</v>
      </c>
      <c r="F21" s="175"/>
      <c r="G21" s="175">
        <f>ROUND(B21*C21-D21,2)</f>
        <v>23.78</v>
      </c>
    </row>
    <row r="22" spans="1:7">
      <c r="A22" s="174" t="s">
        <v>227</v>
      </c>
      <c r="B22" s="178">
        <v>2</v>
      </c>
      <c r="C22" s="178">
        <v>2.9</v>
      </c>
      <c r="D22" s="178">
        <v>0</v>
      </c>
      <c r="E22" s="178">
        <v>1</v>
      </c>
      <c r="F22" s="175"/>
      <c r="G22" s="175">
        <f t="shared" ref="G22:G30" si="0">ROUND(B22*C22-D22,2)</f>
        <v>5.8</v>
      </c>
    </row>
    <row r="23" spans="1:7">
      <c r="A23" s="174" t="s">
        <v>228</v>
      </c>
      <c r="B23" s="178">
        <v>5.2750000000000004</v>
      </c>
      <c r="C23" s="178">
        <v>6.25</v>
      </c>
      <c r="D23" s="178">
        <f>0.5*1.8*3</f>
        <v>2.7</v>
      </c>
      <c r="E23" s="178">
        <v>1</v>
      </c>
      <c r="F23" s="175"/>
      <c r="G23" s="175">
        <f t="shared" si="0"/>
        <v>30.27</v>
      </c>
    </row>
    <row r="24" spans="1:7">
      <c r="A24" s="174" t="s">
        <v>229</v>
      </c>
      <c r="B24" s="178">
        <v>1.85</v>
      </c>
      <c r="C24" s="178">
        <v>2.9</v>
      </c>
      <c r="D24" s="178">
        <v>0</v>
      </c>
      <c r="E24" s="178">
        <v>1</v>
      </c>
      <c r="F24" s="175"/>
      <c r="G24" s="175">
        <f t="shared" si="0"/>
        <v>5.37</v>
      </c>
    </row>
    <row r="25" spans="1:7">
      <c r="A25" s="174" t="s">
        <v>230</v>
      </c>
      <c r="B25" s="178">
        <v>4</v>
      </c>
      <c r="C25" s="178">
        <v>2.9</v>
      </c>
      <c r="D25" s="178">
        <v>0</v>
      </c>
      <c r="E25" s="178">
        <v>1</v>
      </c>
      <c r="F25" s="175"/>
      <c r="G25" s="175">
        <f t="shared" si="0"/>
        <v>11.6</v>
      </c>
    </row>
    <row r="26" spans="1:7">
      <c r="A26" s="174" t="s">
        <v>231</v>
      </c>
      <c r="B26" s="178">
        <v>10</v>
      </c>
      <c r="C26" s="178">
        <v>2.9</v>
      </c>
      <c r="D26" s="178">
        <v>0</v>
      </c>
      <c r="E26" s="178">
        <v>1</v>
      </c>
      <c r="F26" s="175"/>
      <c r="G26" s="175">
        <f t="shared" si="0"/>
        <v>29</v>
      </c>
    </row>
    <row r="27" spans="1:7">
      <c r="A27" s="174" t="s">
        <v>232</v>
      </c>
      <c r="B27" s="178">
        <v>20</v>
      </c>
      <c r="C27" s="178">
        <v>2.9</v>
      </c>
      <c r="D27" s="178">
        <v>6.36</v>
      </c>
      <c r="E27" s="178">
        <v>1</v>
      </c>
      <c r="F27" s="175"/>
      <c r="G27" s="175">
        <f t="shared" si="0"/>
        <v>51.64</v>
      </c>
    </row>
    <row r="28" spans="1:7">
      <c r="A28" s="174" t="s">
        <v>233</v>
      </c>
      <c r="B28" s="178">
        <v>10</v>
      </c>
      <c r="C28" s="178">
        <v>2.9</v>
      </c>
      <c r="D28" s="178">
        <f>1*0.3*2+0.5*1.8*2</f>
        <v>2.4</v>
      </c>
      <c r="E28" s="178">
        <v>1</v>
      </c>
      <c r="F28" s="175"/>
      <c r="G28" s="175">
        <f t="shared" si="0"/>
        <v>26.6</v>
      </c>
    </row>
    <row r="29" spans="1:7">
      <c r="A29" s="174" t="s">
        <v>234</v>
      </c>
      <c r="B29" s="178">
        <f>0.5+0.5+0.15+0.15+0.35+0.35</f>
        <v>2</v>
      </c>
      <c r="C29" s="178">
        <v>2.9</v>
      </c>
      <c r="D29" s="178">
        <v>0</v>
      </c>
      <c r="E29" s="178">
        <v>1</v>
      </c>
      <c r="F29" s="175"/>
      <c r="G29" s="175">
        <f t="shared" si="0"/>
        <v>5.8</v>
      </c>
    </row>
    <row r="30" spans="1:7">
      <c r="A30" s="174" t="s">
        <v>235</v>
      </c>
      <c r="B30" s="178">
        <f>11.57+12+21.7+12.05+5</f>
        <v>62.319999999999993</v>
      </c>
      <c r="C30" s="178">
        <v>1.4</v>
      </c>
      <c r="D30" s="178">
        <v>0</v>
      </c>
      <c r="E30" s="178">
        <v>0</v>
      </c>
      <c r="F30" s="175"/>
      <c r="G30" s="175">
        <f t="shared" si="0"/>
        <v>87.25</v>
      </c>
    </row>
    <row r="31" spans="1:7">
      <c r="A31" s="174" t="s">
        <v>236</v>
      </c>
      <c r="B31" s="178">
        <v>9.7799999999999994</v>
      </c>
      <c r="C31" s="178">
        <v>1.8</v>
      </c>
      <c r="D31" s="178">
        <v>0</v>
      </c>
      <c r="E31" s="178">
        <v>2</v>
      </c>
      <c r="F31" s="175"/>
      <c r="G31" s="175">
        <f>ROUND(B31*C31-D31,2)*E31</f>
        <v>35.200000000000003</v>
      </c>
    </row>
    <row r="32" spans="1:7">
      <c r="A32" s="174" t="s">
        <v>237</v>
      </c>
      <c r="B32" s="178">
        <v>11.75</v>
      </c>
      <c r="C32" s="178">
        <v>0.45</v>
      </c>
      <c r="D32" s="178">
        <v>0</v>
      </c>
      <c r="E32" s="178">
        <v>1</v>
      </c>
      <c r="F32" s="175"/>
      <c r="G32" s="175">
        <f>ROUND(B32*C32-D32,2)*E32</f>
        <v>5.29</v>
      </c>
    </row>
    <row r="33" spans="1:11">
      <c r="A33" s="331"/>
      <c r="B33" s="332"/>
      <c r="C33" s="332"/>
      <c r="D33" s="333"/>
      <c r="E33" s="321" t="s">
        <v>202</v>
      </c>
      <c r="F33" s="322"/>
      <c r="G33" s="179">
        <f>SUM(G21:G32)</f>
        <v>317.60000000000002</v>
      </c>
    </row>
    <row r="34" spans="1:11">
      <c r="A34" s="331"/>
      <c r="B34" s="332"/>
      <c r="C34" s="332"/>
      <c r="D34" s="332"/>
      <c r="E34" s="332"/>
      <c r="F34" s="332"/>
      <c r="G34" s="333"/>
    </row>
    <row r="35" spans="1:11">
      <c r="A35" s="171" t="s">
        <v>214</v>
      </c>
      <c r="B35" s="172" t="s">
        <v>219</v>
      </c>
      <c r="C35" s="172" t="s">
        <v>220</v>
      </c>
      <c r="D35" s="329" t="s">
        <v>223</v>
      </c>
      <c r="E35" s="330"/>
      <c r="F35" s="172"/>
      <c r="G35" s="173" t="s">
        <v>202</v>
      </c>
    </row>
    <row r="36" spans="1:11" ht="22.5">
      <c r="A36" s="177" t="s">
        <v>238</v>
      </c>
      <c r="B36" s="175"/>
      <c r="C36" s="175"/>
      <c r="D36" s="180" t="s">
        <v>239</v>
      </c>
      <c r="E36" s="180" t="s">
        <v>240</v>
      </c>
      <c r="F36" s="175"/>
      <c r="G36" s="175"/>
    </row>
    <row r="37" spans="1:11">
      <c r="A37" s="174" t="s">
        <v>241</v>
      </c>
      <c r="B37" s="178">
        <f>4.98+2+4.98+7.49+1.85+0.15+0.7+1+4.5+1+0.7+0.15+0.15+4.95+3.92</f>
        <v>38.520000000000003</v>
      </c>
      <c r="C37" s="178">
        <f>2.9</f>
        <v>2.9</v>
      </c>
      <c r="D37" s="178">
        <f>2*2.1+0.5*1.8*3+2*2.1+0.6*2.1*2+0.9*2.1</f>
        <v>15.510000000000002</v>
      </c>
      <c r="E37" s="175"/>
      <c r="F37" s="175"/>
      <c r="G37" s="175">
        <f>B37*C37-D37</f>
        <v>96.198000000000008</v>
      </c>
    </row>
    <row r="38" spans="1:11">
      <c r="A38" s="174" t="s">
        <v>242</v>
      </c>
      <c r="B38" s="178">
        <f>4*2+9.7*2</f>
        <v>27.4</v>
      </c>
      <c r="C38" s="178">
        <f t="shared" ref="C38:C47" si="1">2.9</f>
        <v>2.9</v>
      </c>
      <c r="D38" s="178">
        <f>2*2.1</f>
        <v>4.2</v>
      </c>
      <c r="E38" s="175"/>
      <c r="F38" s="175"/>
      <c r="G38" s="175">
        <f>B38*C38-D38-E38</f>
        <v>75.259999999999991</v>
      </c>
    </row>
    <row r="39" spans="1:11" ht="22.5">
      <c r="A39" s="174" t="s">
        <v>243</v>
      </c>
      <c r="B39" s="178" t="s">
        <v>244</v>
      </c>
      <c r="C39" s="178"/>
      <c r="D39" s="178"/>
      <c r="E39" s="175"/>
      <c r="F39" s="175"/>
      <c r="G39" s="175"/>
    </row>
    <row r="40" spans="1:11" ht="22.5">
      <c r="A40" s="174" t="s">
        <v>245</v>
      </c>
      <c r="B40" s="178" t="s">
        <v>244</v>
      </c>
      <c r="C40" s="178"/>
      <c r="D40" s="178"/>
      <c r="E40" s="175"/>
      <c r="F40" s="175"/>
      <c r="G40" s="175"/>
    </row>
    <row r="41" spans="1:11" ht="22.5">
      <c r="A41" s="174" t="s">
        <v>246</v>
      </c>
      <c r="B41" s="178" t="s">
        <v>244</v>
      </c>
      <c r="C41" s="178"/>
      <c r="D41" s="178"/>
      <c r="E41" s="175"/>
      <c r="F41" s="175"/>
      <c r="G41" s="175"/>
    </row>
    <row r="42" spans="1:11" ht="22.5">
      <c r="A42" s="174" t="s">
        <v>247</v>
      </c>
      <c r="B42" s="178" t="s">
        <v>244</v>
      </c>
      <c r="C42" s="178"/>
      <c r="D42" s="178"/>
      <c r="E42" s="175"/>
      <c r="F42" s="175"/>
      <c r="G42" s="175"/>
    </row>
    <row r="43" spans="1:11">
      <c r="A43" s="174" t="s">
        <v>248</v>
      </c>
      <c r="B43" s="178">
        <f>6.2+1.42+2.4+1.15+1.85+1.15+1.95</f>
        <v>16.12</v>
      </c>
      <c r="C43" s="178">
        <f t="shared" si="1"/>
        <v>2.9</v>
      </c>
      <c r="D43" s="178">
        <f>0.8*2.1*3</f>
        <v>5.0400000000000009</v>
      </c>
      <c r="E43" s="175"/>
      <c r="F43" s="175"/>
      <c r="G43" s="175">
        <f t="shared" ref="G43:G47" si="2">B43*C43-D43</f>
        <v>41.708000000000006</v>
      </c>
      <c r="I43" s="166"/>
      <c r="J43" s="166"/>
      <c r="K43" s="166"/>
    </row>
    <row r="44" spans="1:11" ht="22.5">
      <c r="A44" s="174" t="s">
        <v>249</v>
      </c>
      <c r="B44" s="178" t="s">
        <v>244</v>
      </c>
      <c r="C44" s="178"/>
      <c r="D44" s="178"/>
      <c r="E44" s="175"/>
      <c r="F44" s="175"/>
      <c r="G44" s="175"/>
    </row>
    <row r="45" spans="1:11">
      <c r="A45" s="174" t="s">
        <v>250</v>
      </c>
      <c r="B45" s="178">
        <f>4.06+4+2.95+1.45+1.9+4.2+0.78+1.25</f>
        <v>20.59</v>
      </c>
      <c r="C45" s="178">
        <f t="shared" si="1"/>
        <v>2.9</v>
      </c>
      <c r="D45" s="178">
        <f>0.5*1.8*3+0.6*2.1+0.8*2.1</f>
        <v>5.6400000000000006</v>
      </c>
      <c r="E45" s="175"/>
      <c r="F45" s="175"/>
      <c r="G45" s="175">
        <f t="shared" si="2"/>
        <v>54.070999999999998</v>
      </c>
    </row>
    <row r="46" spans="1:11" ht="22.5">
      <c r="A46" s="174" t="s">
        <v>251</v>
      </c>
      <c r="B46" s="178" t="s">
        <v>244</v>
      </c>
      <c r="C46" s="178"/>
      <c r="D46" s="178"/>
      <c r="E46" s="175"/>
      <c r="F46" s="175"/>
      <c r="G46" s="175"/>
    </row>
    <row r="47" spans="1:11">
      <c r="A47" s="174" t="s">
        <v>252</v>
      </c>
      <c r="B47" s="178">
        <f>1.25+0.785+4.2+1.75+1.45+2.95+4+3.92</f>
        <v>20.305</v>
      </c>
      <c r="C47" s="178">
        <f t="shared" si="1"/>
        <v>2.9</v>
      </c>
      <c r="D47" s="178">
        <f>0.5*1.8*3+0.6*2.1+0.8*2.1</f>
        <v>5.6400000000000006</v>
      </c>
      <c r="E47" s="175"/>
      <c r="F47" s="175"/>
      <c r="G47" s="175">
        <f t="shared" si="2"/>
        <v>53.244499999999995</v>
      </c>
    </row>
    <row r="48" spans="1:11" ht="22.5">
      <c r="A48" s="174" t="s">
        <v>253</v>
      </c>
      <c r="B48" s="178" t="s">
        <v>244</v>
      </c>
      <c r="C48" s="178"/>
      <c r="D48" s="178"/>
      <c r="E48" s="175"/>
      <c r="F48" s="175"/>
      <c r="G48" s="175"/>
    </row>
    <row r="49" spans="1:9">
      <c r="A49" s="174"/>
      <c r="B49" s="175"/>
      <c r="C49" s="175"/>
      <c r="D49" s="175"/>
      <c r="E49" s="175"/>
      <c r="F49" s="175"/>
      <c r="G49" s="175">
        <f>B49*C49-D49-E49</f>
        <v>0</v>
      </c>
    </row>
    <row r="50" spans="1:9">
      <c r="A50" s="331"/>
      <c r="B50" s="332"/>
      <c r="C50" s="332"/>
      <c r="D50" s="333"/>
      <c r="E50" s="321" t="s">
        <v>202</v>
      </c>
      <c r="F50" s="322"/>
      <c r="G50" s="179">
        <f>SUM(G37:G49)</f>
        <v>320.48149999999998</v>
      </c>
    </row>
    <row r="51" spans="1:9" s="166" customFormat="1">
      <c r="A51" s="334"/>
      <c r="B51" s="334"/>
      <c r="C51" s="334"/>
      <c r="D51" s="334"/>
      <c r="E51" s="334"/>
      <c r="F51" s="334"/>
      <c r="G51" s="334"/>
    </row>
    <row r="52" spans="1:9" ht="11.25" customHeight="1">
      <c r="A52" s="334"/>
      <c r="B52" s="334"/>
      <c r="C52" s="334"/>
      <c r="D52" s="334"/>
      <c r="E52" s="334"/>
      <c r="F52" s="334"/>
      <c r="G52" s="334"/>
    </row>
    <row r="53" spans="1:9" ht="11.25" customHeight="1">
      <c r="A53" s="318" t="s">
        <v>254</v>
      </c>
      <c r="B53" s="319"/>
      <c r="C53" s="319"/>
      <c r="D53" s="319"/>
      <c r="E53" s="319"/>
      <c r="F53" s="319"/>
      <c r="G53" s="320"/>
    </row>
    <row r="54" spans="1:9" ht="11.25" customHeight="1">
      <c r="A54" s="171" t="s">
        <v>214</v>
      </c>
      <c r="B54" s="172"/>
      <c r="C54" s="172"/>
      <c r="D54" s="172"/>
      <c r="E54" s="172"/>
      <c r="F54" s="172"/>
      <c r="G54" s="172" t="s">
        <v>255</v>
      </c>
    </row>
    <row r="55" spans="1:9" ht="11.25" customHeight="1">
      <c r="A55" s="182" t="s">
        <v>256</v>
      </c>
      <c r="B55" s="175"/>
      <c r="C55" s="323" t="s">
        <v>257</v>
      </c>
      <c r="D55" s="324"/>
      <c r="E55" s="324"/>
      <c r="F55" s="325"/>
      <c r="G55" s="183">
        <v>9</v>
      </c>
    </row>
    <row r="56" spans="1:9" ht="11.25" customHeight="1">
      <c r="A56" s="182" t="s">
        <v>258</v>
      </c>
      <c r="B56" s="175"/>
      <c r="C56" s="323" t="s">
        <v>257</v>
      </c>
      <c r="D56" s="324"/>
      <c r="E56" s="324"/>
      <c r="F56" s="325"/>
      <c r="G56" s="183">
        <v>2</v>
      </c>
    </row>
    <row r="57" spans="1:9" ht="11.25" customHeight="1">
      <c r="A57" s="182" t="s">
        <v>259</v>
      </c>
      <c r="B57" s="175"/>
      <c r="C57" s="323" t="s">
        <v>257</v>
      </c>
      <c r="D57" s="324"/>
      <c r="E57" s="324"/>
      <c r="F57" s="325"/>
      <c r="G57" s="183">
        <v>2</v>
      </c>
    </row>
    <row r="58" spans="1:9" ht="11.25" customHeight="1">
      <c r="A58" s="174" t="s">
        <v>260</v>
      </c>
      <c r="B58" s="184"/>
      <c r="C58" s="323" t="s">
        <v>257</v>
      </c>
      <c r="D58" s="324"/>
      <c r="E58" s="324"/>
      <c r="F58" s="325"/>
      <c r="G58" s="183">
        <v>2</v>
      </c>
    </row>
    <row r="59" spans="1:9" ht="11.25" customHeight="1">
      <c r="A59" s="174" t="s">
        <v>261</v>
      </c>
      <c r="B59" s="184"/>
      <c r="C59" s="323" t="s">
        <v>257</v>
      </c>
      <c r="D59" s="324"/>
      <c r="E59" s="324"/>
      <c r="F59" s="325"/>
      <c r="G59" s="183">
        <v>2</v>
      </c>
    </row>
    <row r="60" spans="1:9" ht="11.25" customHeight="1">
      <c r="A60" s="174" t="s">
        <v>262</v>
      </c>
      <c r="B60" s="175"/>
      <c r="C60" s="323" t="s">
        <v>257</v>
      </c>
      <c r="D60" s="324"/>
      <c r="E60" s="324"/>
      <c r="F60" s="325"/>
      <c r="G60" s="183">
        <v>4</v>
      </c>
    </row>
    <row r="61" spans="1:9" ht="11.25" customHeight="1">
      <c r="A61" s="185" t="s">
        <v>263</v>
      </c>
      <c r="B61" s="175"/>
      <c r="C61" s="323" t="s">
        <v>257</v>
      </c>
      <c r="D61" s="324"/>
      <c r="E61" s="324"/>
      <c r="F61" s="325"/>
      <c r="G61" s="183">
        <v>12</v>
      </c>
    </row>
    <row r="62" spans="1:9">
      <c r="A62" s="181"/>
      <c r="B62" s="181"/>
      <c r="C62" s="181"/>
      <c r="D62" s="181"/>
      <c r="E62" s="181"/>
      <c r="F62" s="181"/>
      <c r="G62" s="181"/>
    </row>
    <row r="63" spans="1:9">
      <c r="A63" s="318" t="s">
        <v>264</v>
      </c>
      <c r="B63" s="319"/>
      <c r="C63" s="319"/>
      <c r="D63" s="319"/>
      <c r="E63" s="319"/>
      <c r="F63" s="319"/>
      <c r="G63" s="320"/>
      <c r="I63" s="186"/>
    </row>
    <row r="64" spans="1:9">
      <c r="A64" s="171" t="s">
        <v>214</v>
      </c>
      <c r="B64" s="172"/>
      <c r="C64" s="172"/>
      <c r="D64" s="172" t="s">
        <v>265</v>
      </c>
      <c r="E64" s="168"/>
      <c r="F64" s="172" t="s">
        <v>266</v>
      </c>
      <c r="G64" s="172" t="s">
        <v>202</v>
      </c>
      <c r="I64" s="186"/>
    </row>
    <row r="65" spans="1:9" ht="22.5">
      <c r="A65" s="174" t="s">
        <v>148</v>
      </c>
      <c r="B65" s="175"/>
      <c r="C65" s="175"/>
      <c r="D65" s="175">
        <v>113</v>
      </c>
      <c r="E65" s="175"/>
      <c r="F65" s="187">
        <v>6.25E-2</v>
      </c>
      <c r="G65" s="175">
        <f>ROUND(D65*F65,2)</f>
        <v>7.06</v>
      </c>
      <c r="I65" s="186"/>
    </row>
    <row r="66" spans="1:9" ht="22.5">
      <c r="A66" s="174" t="s">
        <v>150</v>
      </c>
      <c r="B66" s="175"/>
      <c r="C66" s="175"/>
      <c r="D66" s="175">
        <v>79</v>
      </c>
      <c r="E66" s="175"/>
      <c r="F66" s="187">
        <f>0.25*0.25</f>
        <v>6.25E-2</v>
      </c>
      <c r="G66" s="175">
        <v>4.9400000000000004</v>
      </c>
      <c r="I66" s="186"/>
    </row>
    <row r="67" spans="1:9">
      <c r="A67" s="181"/>
      <c r="B67" s="181"/>
      <c r="C67" s="181"/>
      <c r="D67" s="181"/>
      <c r="E67" s="181"/>
      <c r="F67" s="181"/>
      <c r="G67" s="181"/>
      <c r="I67" s="186"/>
    </row>
    <row r="68" spans="1:9">
      <c r="A68" s="326" t="s">
        <v>267</v>
      </c>
      <c r="B68" s="327"/>
      <c r="C68" s="327"/>
      <c r="D68" s="327"/>
      <c r="E68" s="327"/>
      <c r="F68" s="327"/>
      <c r="G68" s="328"/>
      <c r="I68" s="186"/>
    </row>
    <row r="69" spans="1:9">
      <c r="A69" s="188" t="s">
        <v>214</v>
      </c>
      <c r="B69" s="189"/>
      <c r="C69" s="190" t="s">
        <v>268</v>
      </c>
      <c r="D69" s="190" t="s">
        <v>269</v>
      </c>
      <c r="E69" s="190" t="s">
        <v>270</v>
      </c>
      <c r="F69" s="189" t="s">
        <v>271</v>
      </c>
      <c r="G69" s="189" t="s">
        <v>272</v>
      </c>
      <c r="I69" s="186"/>
    </row>
    <row r="70" spans="1:9">
      <c r="A70" s="191" t="s">
        <v>273</v>
      </c>
      <c r="B70" s="192"/>
      <c r="C70" s="193">
        <f>1.3*2+1*2</f>
        <v>4.5999999999999996</v>
      </c>
      <c r="D70" s="193">
        <v>2.5</v>
      </c>
      <c r="E70" s="193"/>
      <c r="F70" s="192">
        <f>ROUND(C70*D70,2)</f>
        <v>11.5</v>
      </c>
      <c r="G70" s="192"/>
      <c r="I70" s="186"/>
    </row>
    <row r="71" spans="1:9">
      <c r="A71" s="191" t="s">
        <v>274</v>
      </c>
      <c r="B71" s="192"/>
      <c r="C71" s="193"/>
      <c r="D71" s="193"/>
      <c r="E71" s="193"/>
      <c r="F71" s="192">
        <v>1</v>
      </c>
      <c r="G71" s="192"/>
      <c r="I71" s="186"/>
    </row>
    <row r="72" spans="1:9">
      <c r="A72" s="194" t="s">
        <v>275</v>
      </c>
      <c r="B72" s="192"/>
      <c r="C72" s="193">
        <v>1.5</v>
      </c>
      <c r="D72" s="193"/>
      <c r="E72" s="193">
        <v>1.5</v>
      </c>
      <c r="F72" s="192">
        <v>2.25</v>
      </c>
      <c r="G72" s="192"/>
      <c r="I72" s="186"/>
    </row>
    <row r="73" spans="1:9">
      <c r="A73" s="191" t="s">
        <v>276</v>
      </c>
      <c r="B73" s="192"/>
      <c r="C73" s="193">
        <v>3.48</v>
      </c>
      <c r="D73" s="193">
        <v>0.15</v>
      </c>
      <c r="E73" s="193">
        <v>1.35</v>
      </c>
      <c r="F73" s="192"/>
      <c r="G73" s="192">
        <f>ROUND(C73*D73*E73,2)</f>
        <v>0.7</v>
      </c>
      <c r="I73" s="186"/>
    </row>
    <row r="74" spans="1:9">
      <c r="A74" s="181"/>
      <c r="B74" s="181"/>
      <c r="C74" s="181"/>
      <c r="D74" s="181"/>
      <c r="E74" s="181"/>
      <c r="F74" s="181"/>
      <c r="G74" s="181"/>
      <c r="I74" s="186"/>
    </row>
    <row r="75" spans="1:9">
      <c r="A75" s="318" t="s">
        <v>277</v>
      </c>
      <c r="B75" s="319"/>
      <c r="C75" s="319"/>
      <c r="D75" s="319"/>
      <c r="E75" s="319"/>
      <c r="F75" s="319"/>
      <c r="G75" s="320"/>
      <c r="I75" s="186"/>
    </row>
    <row r="76" spans="1:9">
      <c r="A76" s="171" t="s">
        <v>214</v>
      </c>
      <c r="B76" s="172"/>
      <c r="C76" s="172" t="s">
        <v>278</v>
      </c>
      <c r="D76" s="172" t="s">
        <v>220</v>
      </c>
      <c r="E76" s="172" t="s">
        <v>279</v>
      </c>
      <c r="F76" s="172"/>
      <c r="G76" s="172" t="s">
        <v>202</v>
      </c>
      <c r="I76" s="186"/>
    </row>
    <row r="77" spans="1:9">
      <c r="A77" s="195" t="s">
        <v>243</v>
      </c>
      <c r="B77" s="196"/>
      <c r="C77" s="197">
        <f>1.5+1.15+1+4.065+2.5+2.92</f>
        <v>13.135</v>
      </c>
      <c r="D77" s="196">
        <v>2.9</v>
      </c>
      <c r="E77" s="196">
        <f>0.8*1.8</f>
        <v>1.4400000000000002</v>
      </c>
      <c r="F77" s="196"/>
      <c r="G77" s="196">
        <f>ROUND(C77*D77,2)-E77</f>
        <v>36.650000000000006</v>
      </c>
      <c r="I77" s="186"/>
    </row>
    <row r="78" spans="1:9">
      <c r="A78" s="174" t="s">
        <v>245</v>
      </c>
      <c r="B78" s="196"/>
      <c r="C78" s="197">
        <f>2*2+1.45*2</f>
        <v>6.9</v>
      </c>
      <c r="D78" s="196">
        <v>2.9</v>
      </c>
      <c r="E78" s="196">
        <v>1.44</v>
      </c>
      <c r="F78" s="196"/>
      <c r="G78" s="196">
        <f t="shared" ref="G78:G83" si="3">ROUND(C78*D78,2)-E78</f>
        <v>18.57</v>
      </c>
      <c r="I78" s="186"/>
    </row>
    <row r="79" spans="1:9">
      <c r="A79" s="174" t="s">
        <v>246</v>
      </c>
      <c r="B79" s="196"/>
      <c r="C79" s="197">
        <f>1.3*2+2*2</f>
        <v>6.6</v>
      </c>
      <c r="D79" s="196">
        <v>2.9</v>
      </c>
      <c r="E79" s="196">
        <f>0.8*1.8</f>
        <v>1.4400000000000002</v>
      </c>
      <c r="F79" s="196"/>
      <c r="G79" s="196">
        <f t="shared" si="3"/>
        <v>17.7</v>
      </c>
      <c r="I79" s="186"/>
    </row>
    <row r="80" spans="1:9">
      <c r="A80" s="174" t="s">
        <v>247</v>
      </c>
      <c r="B80" s="196"/>
      <c r="C80" s="197">
        <f>1.15+1+2.92+2+4.06+1</f>
        <v>12.129999999999999</v>
      </c>
      <c r="D80" s="196">
        <v>2.9</v>
      </c>
      <c r="E80" s="196">
        <f>1.8*0.8</f>
        <v>1.4400000000000002</v>
      </c>
      <c r="F80" s="196"/>
      <c r="G80" s="196">
        <f t="shared" si="3"/>
        <v>33.74</v>
      </c>
      <c r="I80" s="186"/>
    </row>
    <row r="81" spans="1:9">
      <c r="A81" s="174" t="s">
        <v>249</v>
      </c>
      <c r="C81" s="197">
        <f>1.15+2+2.9+3+4.06+1</f>
        <v>14.11</v>
      </c>
      <c r="D81" s="196">
        <v>2.9</v>
      </c>
      <c r="E81" s="196">
        <v>1.44</v>
      </c>
      <c r="F81" s="196"/>
      <c r="G81" s="196">
        <f t="shared" si="3"/>
        <v>39.480000000000004</v>
      </c>
      <c r="I81" s="186"/>
    </row>
    <row r="82" spans="1:9">
      <c r="A82" s="195" t="s">
        <v>280</v>
      </c>
      <c r="B82" s="196"/>
      <c r="C82" s="196">
        <v>8.1999999999999993</v>
      </c>
      <c r="D82" s="196">
        <v>2.9</v>
      </c>
      <c r="E82" s="196">
        <f>0.9*1.8</f>
        <v>1.62</v>
      </c>
      <c r="F82" s="196"/>
      <c r="G82" s="196">
        <f t="shared" si="3"/>
        <v>22.16</v>
      </c>
      <c r="I82" s="186"/>
    </row>
    <row r="83" spans="1:9">
      <c r="A83" s="195" t="s">
        <v>253</v>
      </c>
      <c r="B83" s="196"/>
      <c r="C83" s="196">
        <v>8.1999999999999993</v>
      </c>
      <c r="D83" s="196">
        <v>2.9</v>
      </c>
      <c r="E83" s="196">
        <f>0.8*1.8</f>
        <v>1.4400000000000002</v>
      </c>
      <c r="F83" s="196"/>
      <c r="G83" s="196">
        <f t="shared" si="3"/>
        <v>22.34</v>
      </c>
      <c r="I83" s="186"/>
    </row>
    <row r="84" spans="1:9">
      <c r="A84" s="181"/>
      <c r="B84" s="181"/>
      <c r="C84" s="181"/>
      <c r="D84" s="181"/>
      <c r="E84" s="321" t="s">
        <v>202</v>
      </c>
      <c r="F84" s="322"/>
      <c r="G84" s="179">
        <f>SUM(G77:G83)</f>
        <v>190.64</v>
      </c>
      <c r="I84" s="186"/>
    </row>
    <row r="85" spans="1:9">
      <c r="A85" s="181"/>
      <c r="B85" s="181"/>
      <c r="C85" s="181"/>
      <c r="D85" s="181"/>
      <c r="E85" s="181"/>
      <c r="F85" s="181"/>
      <c r="G85" s="198"/>
      <c r="I85" s="186"/>
    </row>
    <row r="86" spans="1:9" ht="15.75" customHeight="1">
      <c r="A86" s="199" t="s">
        <v>281</v>
      </c>
      <c r="B86" s="199"/>
      <c r="C86" s="199"/>
      <c r="D86" s="199"/>
      <c r="E86" s="199"/>
      <c r="F86" s="199"/>
      <c r="G86" s="199" t="s">
        <v>282</v>
      </c>
      <c r="I86" s="186"/>
    </row>
    <row r="87" spans="1:9" ht="15.75" customHeight="1">
      <c r="A87" s="195" t="s">
        <v>283</v>
      </c>
      <c r="B87" s="196"/>
      <c r="C87" s="196"/>
      <c r="D87" s="196"/>
      <c r="E87" s="196"/>
      <c r="F87" s="196"/>
      <c r="G87" s="196">
        <f>2.8*1.3*2</f>
        <v>7.2799999999999994</v>
      </c>
      <c r="I87" s="186"/>
    </row>
    <row r="88" spans="1:9" ht="15.75" customHeight="1">
      <c r="A88" s="195" t="s">
        <v>284</v>
      </c>
      <c r="B88" s="196"/>
      <c r="C88" s="196"/>
      <c r="D88" s="196"/>
      <c r="E88" s="196"/>
      <c r="F88" s="196"/>
      <c r="G88" s="196">
        <f>G87</f>
        <v>7.2799999999999994</v>
      </c>
      <c r="I88" s="186"/>
    </row>
    <row r="89" spans="1:9" ht="15.75" customHeight="1">
      <c r="A89" s="195" t="s">
        <v>285</v>
      </c>
      <c r="B89" s="196"/>
      <c r="C89" s="196"/>
      <c r="D89" s="196"/>
      <c r="E89" s="196"/>
      <c r="F89" s="196"/>
      <c r="G89" s="196">
        <f>G88</f>
        <v>7.2799999999999994</v>
      </c>
      <c r="I89" s="186"/>
    </row>
    <row r="90" spans="1:9" ht="15.75" customHeight="1">
      <c r="A90" s="181"/>
      <c r="B90" s="181"/>
      <c r="C90" s="181"/>
      <c r="D90" s="181"/>
      <c r="E90" s="181"/>
      <c r="F90" s="181"/>
      <c r="G90" s="181"/>
      <c r="I90" s="186"/>
    </row>
    <row r="91" spans="1:9">
      <c r="A91" s="318" t="s">
        <v>286</v>
      </c>
      <c r="B91" s="319"/>
      <c r="C91" s="319"/>
      <c r="D91" s="319"/>
      <c r="E91" s="319"/>
      <c r="F91" s="319"/>
      <c r="G91" s="320"/>
      <c r="I91" s="186"/>
    </row>
    <row r="92" spans="1:9" ht="33.75">
      <c r="A92" s="200" t="s">
        <v>287</v>
      </c>
      <c r="B92" s="201" t="s">
        <v>9</v>
      </c>
      <c r="C92" s="201" t="s">
        <v>288</v>
      </c>
      <c r="D92" s="201" t="s">
        <v>289</v>
      </c>
      <c r="E92" s="201" t="s">
        <v>202</v>
      </c>
      <c r="F92" s="201" t="s">
        <v>290</v>
      </c>
      <c r="G92" s="202" t="s">
        <v>291</v>
      </c>
    </row>
    <row r="93" spans="1:9">
      <c r="A93" s="203"/>
      <c r="B93" s="204"/>
      <c r="C93" s="205"/>
      <c r="D93" s="206"/>
      <c r="E93" s="207"/>
      <c r="F93" s="208"/>
      <c r="G93" s="207"/>
    </row>
    <row r="94" spans="1:9" ht="30">
      <c r="A94" s="203" t="s">
        <v>27</v>
      </c>
      <c r="B94" s="206">
        <v>638.08000000000004</v>
      </c>
      <c r="C94" s="205" t="s">
        <v>292</v>
      </c>
      <c r="D94" s="206">
        <v>4.8899999999999999E-2</v>
      </c>
      <c r="E94" s="207">
        <f>ROUND(D94*B94,2)</f>
        <v>31.2</v>
      </c>
      <c r="F94" s="208" t="s">
        <v>293</v>
      </c>
      <c r="G94" s="207">
        <f>ROUND(E94*31.45/1000,2)</f>
        <v>0.98</v>
      </c>
    </row>
    <row r="95" spans="1:9" ht="60">
      <c r="A95" s="203" t="s">
        <v>30</v>
      </c>
      <c r="B95" s="209">
        <v>638.08000000000004</v>
      </c>
      <c r="C95" s="209" t="s">
        <v>294</v>
      </c>
      <c r="D95" s="209">
        <v>0.33</v>
      </c>
      <c r="E95" s="208">
        <f>B95*D95</f>
        <v>210.56640000000002</v>
      </c>
      <c r="F95" s="208" t="s">
        <v>295</v>
      </c>
      <c r="G95" s="208">
        <f>ROUND(E95*1.14/1000,2)</f>
        <v>0.24</v>
      </c>
      <c r="H95" s="166"/>
    </row>
    <row r="96" spans="1:9" ht="25.5" customHeight="1">
      <c r="A96" s="210"/>
      <c r="B96" s="209"/>
      <c r="C96" s="209"/>
      <c r="D96" s="209"/>
      <c r="E96" s="208"/>
      <c r="F96" s="208"/>
      <c r="G96" s="208"/>
      <c r="H96" s="166"/>
    </row>
    <row r="97" spans="1:9">
      <c r="A97" s="210"/>
      <c r="B97" s="211"/>
      <c r="C97" s="212"/>
      <c r="D97" s="211"/>
      <c r="E97" s="321" t="s">
        <v>202</v>
      </c>
      <c r="F97" s="322"/>
      <c r="G97" s="179">
        <f>SUM(G93:G96)</f>
        <v>1.22</v>
      </c>
      <c r="H97" s="166"/>
      <c r="I97" s="186"/>
    </row>
    <row r="98" spans="1:9">
      <c r="A98" s="210"/>
      <c r="B98" s="211"/>
      <c r="C98" s="212"/>
      <c r="D98" s="211"/>
      <c r="E98" s="212"/>
      <c r="F98" s="212"/>
      <c r="G98" s="212"/>
      <c r="H98" s="166"/>
      <c r="I98" s="186"/>
    </row>
    <row r="99" spans="1:9">
      <c r="A99" s="213"/>
      <c r="B99" s="214"/>
      <c r="C99" s="215"/>
      <c r="D99" s="214" t="s">
        <v>296</v>
      </c>
      <c r="E99" s="215"/>
      <c r="F99" s="216">
        <v>139.9</v>
      </c>
      <c r="G99" s="217" t="s">
        <v>297</v>
      </c>
      <c r="H99" s="166"/>
      <c r="I99" s="186"/>
    </row>
    <row r="100" spans="1:9">
      <c r="A100" s="213"/>
      <c r="B100" s="214"/>
      <c r="C100" s="215"/>
      <c r="D100" s="214"/>
      <c r="E100" s="215"/>
      <c r="F100" s="215"/>
      <c r="G100" s="215"/>
      <c r="H100" s="166"/>
      <c r="I100" s="186"/>
    </row>
    <row r="101" spans="1:9">
      <c r="A101" s="213"/>
      <c r="B101" s="214"/>
      <c r="C101" s="215"/>
      <c r="D101" s="214"/>
      <c r="E101" s="215" t="s">
        <v>298</v>
      </c>
      <c r="F101" s="215"/>
      <c r="G101" s="215">
        <f>F99*G97</f>
        <v>170.678</v>
      </c>
      <c r="H101" s="166"/>
      <c r="I101" s="186"/>
    </row>
    <row r="102" spans="1:9">
      <c r="A102" s="218"/>
      <c r="B102" s="218"/>
      <c r="C102" s="218"/>
      <c r="D102" s="218"/>
      <c r="E102" s="218"/>
      <c r="F102" s="218"/>
      <c r="G102" s="219"/>
    </row>
  </sheetData>
  <mergeCells count="29">
    <mergeCell ref="A1:G1"/>
    <mergeCell ref="A3:G3"/>
    <mergeCell ref="A5:G5"/>
    <mergeCell ref="A7:G7"/>
    <mergeCell ref="A11:G11"/>
    <mergeCell ref="A13:G13"/>
    <mergeCell ref="A18:G18"/>
    <mergeCell ref="A33:D33"/>
    <mergeCell ref="E33:F33"/>
    <mergeCell ref="A34:G34"/>
    <mergeCell ref="D35:E35"/>
    <mergeCell ref="A50:D50"/>
    <mergeCell ref="E50:F50"/>
    <mergeCell ref="A51:G51"/>
    <mergeCell ref="A52:G52"/>
    <mergeCell ref="A53:G53"/>
    <mergeCell ref="C55:F55"/>
    <mergeCell ref="C56:F56"/>
    <mergeCell ref="C57:F57"/>
    <mergeCell ref="C58:F58"/>
    <mergeCell ref="A75:G75"/>
    <mergeCell ref="E84:F84"/>
    <mergeCell ref="A91:G91"/>
    <mergeCell ref="E97:F97"/>
    <mergeCell ref="C59:F59"/>
    <mergeCell ref="C60:F60"/>
    <mergeCell ref="C61:F61"/>
    <mergeCell ref="A63:G63"/>
    <mergeCell ref="A68:G68"/>
  </mergeCells>
  <printOptions horizontalCentered="1"/>
  <pageMargins left="0.39305555555555599" right="0" top="1.4166666666666701" bottom="0.39305555555555599" header="0" footer="0"/>
  <pageSetup paperSize="9" scale="95" orientation="portrait" r:id="rId1"/>
  <headerFooter>
    <oddHeader>&amp;C&amp;9&amp;G
DEFENSORIA PÚBLICA DO ESTADO DE RORAIMA
“Amazônia: Patrimônio dos brasileiros”
____________________________________________________________________________________________________</oddHeader>
    <oddFooter>&amp;C&amp;"Arial,Normal"&amp;9Página &amp;P de &amp;N</oddFooter>
  </headerFooter>
  <colBreaks count="1" manualBreakCount="1">
    <brk id="7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216"/>
  <sheetViews>
    <sheetView view="pageBreakPreview" topLeftCell="A19" zoomScale="85" zoomScaleNormal="100" zoomScaleSheetLayoutView="85" workbookViewId="0">
      <selection activeCell="A15" sqref="A15"/>
    </sheetView>
  </sheetViews>
  <sheetFormatPr defaultColWidth="9" defaultRowHeight="15"/>
  <cols>
    <col min="1" max="1" width="11.140625" style="11" customWidth="1"/>
    <col min="2" max="2" width="56.28515625" style="11" customWidth="1"/>
    <col min="3" max="3" width="6.85546875" style="11" customWidth="1"/>
    <col min="4" max="4" width="9.28515625" style="11" customWidth="1"/>
    <col min="5" max="5" width="9.42578125" style="11" customWidth="1"/>
    <col min="6" max="6" width="9.140625" style="11" customWidth="1"/>
  </cols>
  <sheetData>
    <row r="1" spans="1:10" ht="15.75">
      <c r="A1" s="356" t="s">
        <v>341</v>
      </c>
      <c r="B1" s="356"/>
      <c r="C1" s="356"/>
      <c r="D1" s="356"/>
      <c r="E1" s="356"/>
      <c r="F1" s="356"/>
      <c r="G1" s="95"/>
      <c r="H1" s="96"/>
      <c r="I1" s="96"/>
      <c r="J1" s="96"/>
    </row>
    <row r="2" spans="1:10" ht="5.0999999999999996" customHeight="1">
      <c r="A2" s="357"/>
      <c r="B2" s="358"/>
      <c r="C2" s="358"/>
      <c r="D2" s="358"/>
      <c r="E2" s="358"/>
      <c r="F2" s="359"/>
      <c r="G2" s="96"/>
      <c r="H2" s="96"/>
      <c r="I2" s="96"/>
      <c r="J2" s="96"/>
    </row>
    <row r="3" spans="1:10" ht="30" customHeight="1">
      <c r="A3" s="360" t="str">
        <f>'PB III - Planilha Orçamentaria'!A4:G4</f>
        <v xml:space="preserve">OBRA: REFORMA DO PRÉDIO DA DEFENSORIA PÚBLICA DO ESTADO DE RORAIMA NO MUNICÍPIO DE CARACARAÍ  - DPE/RR </v>
      </c>
      <c r="B3" s="360"/>
      <c r="C3" s="360"/>
      <c r="D3" s="360"/>
      <c r="E3" s="360"/>
      <c r="F3" s="360"/>
      <c r="G3" s="96"/>
      <c r="H3" s="96"/>
      <c r="I3" s="96"/>
      <c r="J3" s="96"/>
    </row>
    <row r="4" spans="1:10" ht="5.0999999999999996" customHeight="1">
      <c r="A4" s="361"/>
      <c r="B4" s="362"/>
      <c r="C4" s="362"/>
      <c r="D4" s="362"/>
      <c r="E4" s="362"/>
      <c r="F4" s="363"/>
      <c r="G4" s="97"/>
      <c r="H4" s="96"/>
      <c r="I4" s="96"/>
      <c r="J4" s="96"/>
    </row>
    <row r="5" spans="1:10" ht="4.5" customHeight="1">
      <c r="A5" s="357"/>
      <c r="B5" s="358"/>
      <c r="C5" s="358"/>
      <c r="D5" s="358"/>
      <c r="E5" s="358"/>
      <c r="F5" s="359"/>
      <c r="G5" s="96"/>
      <c r="H5" s="96"/>
      <c r="I5" s="96"/>
      <c r="J5" s="96"/>
    </row>
    <row r="6" spans="1:10">
      <c r="A6" s="355" t="str">
        <f>'PB III - Planilha Orçamentaria'!A6:G6</f>
        <v>ENDEREÇO:Av Dr. Zany, Bairro: Santa Luzia</v>
      </c>
      <c r="B6" s="355"/>
      <c r="C6" s="355"/>
      <c r="D6" s="355"/>
      <c r="E6" s="355"/>
      <c r="F6" s="355"/>
    </row>
    <row r="7" spans="1:10">
      <c r="D7" s="98"/>
      <c r="E7" s="99"/>
      <c r="F7" s="100"/>
    </row>
    <row r="8" spans="1:10" ht="24">
      <c r="A8" s="101" t="s">
        <v>310</v>
      </c>
      <c r="B8" s="344" t="s">
        <v>342</v>
      </c>
      <c r="C8" s="345"/>
      <c r="D8" s="346"/>
      <c r="E8" s="102" t="s">
        <v>343</v>
      </c>
      <c r="F8" s="102" t="s">
        <v>344</v>
      </c>
    </row>
    <row r="9" spans="1:10">
      <c r="A9" s="103" t="s">
        <v>345</v>
      </c>
      <c r="B9" s="104" t="s">
        <v>346</v>
      </c>
      <c r="C9" s="104" t="s">
        <v>347</v>
      </c>
      <c r="D9" s="104" t="s">
        <v>9</v>
      </c>
      <c r="E9" s="104" t="s">
        <v>10</v>
      </c>
      <c r="F9" s="104" t="s">
        <v>11</v>
      </c>
    </row>
    <row r="10" spans="1:10" ht="24">
      <c r="A10" s="105">
        <v>3767</v>
      </c>
      <c r="B10" s="105" t="s">
        <v>348</v>
      </c>
      <c r="C10" s="106" t="s">
        <v>349</v>
      </c>
      <c r="D10" s="107">
        <v>0.3</v>
      </c>
      <c r="E10" s="108">
        <v>0.36</v>
      </c>
      <c r="F10" s="109">
        <f>ROUND(D10*E10,2)</f>
        <v>0.11</v>
      </c>
    </row>
    <row r="11" spans="1:10">
      <c r="A11" s="105">
        <v>88316</v>
      </c>
      <c r="B11" s="105" t="s">
        <v>350</v>
      </c>
      <c r="C11" s="106" t="s">
        <v>351</v>
      </c>
      <c r="D11" s="107">
        <v>0.185</v>
      </c>
      <c r="E11" s="108">
        <v>14.55</v>
      </c>
      <c r="F11" s="109">
        <f>ROUND(D11*E11,2)</f>
        <v>2.69</v>
      </c>
    </row>
    <row r="12" spans="1:10">
      <c r="A12" s="110"/>
      <c r="B12" s="111"/>
      <c r="C12" s="112"/>
      <c r="D12" s="347" t="s">
        <v>202</v>
      </c>
      <c r="E12" s="347"/>
      <c r="F12" s="113">
        <f>SUM(F10:F11)</f>
        <v>2.8</v>
      </c>
    </row>
    <row r="13" spans="1:10">
      <c r="A13" s="114"/>
      <c r="B13" s="114"/>
      <c r="C13" s="114"/>
      <c r="D13" s="114"/>
      <c r="E13" s="115"/>
      <c r="F13" s="114"/>
    </row>
    <row r="14" spans="1:10">
      <c r="A14" s="114"/>
      <c r="B14" s="114"/>
      <c r="C14" s="114"/>
      <c r="D14" s="114"/>
      <c r="E14" s="115"/>
      <c r="F14" s="114"/>
    </row>
    <row r="15" spans="1:10" ht="24">
      <c r="A15" s="101" t="s">
        <v>317</v>
      </c>
      <c r="B15" s="344" t="s">
        <v>352</v>
      </c>
      <c r="C15" s="345"/>
      <c r="D15" s="346"/>
      <c r="E15" s="102" t="s">
        <v>343</v>
      </c>
      <c r="F15" s="102" t="s">
        <v>349</v>
      </c>
    </row>
    <row r="16" spans="1:10">
      <c r="A16" s="103" t="s">
        <v>345</v>
      </c>
      <c r="B16" s="104" t="s">
        <v>346</v>
      </c>
      <c r="C16" s="104" t="s">
        <v>347</v>
      </c>
      <c r="D16" s="104" t="s">
        <v>9</v>
      </c>
      <c r="E16" s="104" t="s">
        <v>10</v>
      </c>
      <c r="F16" s="104" t="s">
        <v>11</v>
      </c>
    </row>
    <row r="17" spans="1:6">
      <c r="A17" s="105" t="s">
        <v>353</v>
      </c>
      <c r="B17" s="105" t="s">
        <v>354</v>
      </c>
      <c r="C17" s="105" t="s">
        <v>355</v>
      </c>
      <c r="D17" s="107">
        <v>1</v>
      </c>
      <c r="E17" s="108">
        <v>28</v>
      </c>
      <c r="F17" s="109">
        <v>28</v>
      </c>
    </row>
    <row r="18" spans="1:6">
      <c r="A18" s="105">
        <v>21127</v>
      </c>
      <c r="B18" s="105" t="s">
        <v>356</v>
      </c>
      <c r="C18" s="105" t="s">
        <v>357</v>
      </c>
      <c r="D18" s="107">
        <v>0.1</v>
      </c>
      <c r="E18" s="108">
        <v>1.89</v>
      </c>
      <c r="F18" s="109">
        <f t="shared" ref="F18:F20" si="0">ROUND(D18*E18,2)</f>
        <v>0.19</v>
      </c>
    </row>
    <row r="19" spans="1:6">
      <c r="A19" s="105">
        <v>88264</v>
      </c>
      <c r="B19" s="105" t="s">
        <v>358</v>
      </c>
      <c r="C19" s="105" t="s">
        <v>359</v>
      </c>
      <c r="D19" s="107">
        <v>0.3</v>
      </c>
      <c r="E19" s="108">
        <v>21.45</v>
      </c>
      <c r="F19" s="109">
        <f t="shared" si="0"/>
        <v>6.44</v>
      </c>
    </row>
    <row r="20" spans="1:6">
      <c r="A20" s="105" t="s">
        <v>360</v>
      </c>
      <c r="B20" s="105" t="s">
        <v>361</v>
      </c>
      <c r="C20" s="105" t="s">
        <v>359</v>
      </c>
      <c r="D20" s="107">
        <v>0.3</v>
      </c>
      <c r="E20" s="108">
        <v>17.28</v>
      </c>
      <c r="F20" s="109">
        <f t="shared" si="0"/>
        <v>5.18</v>
      </c>
    </row>
    <row r="21" spans="1:6">
      <c r="A21" s="114"/>
      <c r="B21" s="114"/>
      <c r="C21" s="114"/>
      <c r="D21" s="347" t="s">
        <v>202</v>
      </c>
      <c r="E21" s="347"/>
      <c r="F21" s="113">
        <f>SUM(F17:F20)</f>
        <v>39.81</v>
      </c>
    </row>
    <row r="22" spans="1:6">
      <c r="A22" s="114"/>
      <c r="B22" s="114"/>
      <c r="C22" s="114"/>
      <c r="D22" s="114"/>
      <c r="E22" s="115"/>
      <c r="F22" s="114"/>
    </row>
    <row r="23" spans="1:6" ht="24">
      <c r="A23" s="101" t="s">
        <v>307</v>
      </c>
      <c r="B23" s="344" t="s">
        <v>362</v>
      </c>
      <c r="C23" s="345"/>
      <c r="D23" s="346"/>
      <c r="E23" s="102" t="s">
        <v>343</v>
      </c>
      <c r="F23" s="102" t="s">
        <v>349</v>
      </c>
    </row>
    <row r="24" spans="1:6">
      <c r="A24" s="103" t="s">
        <v>345</v>
      </c>
      <c r="B24" s="104" t="s">
        <v>346</v>
      </c>
      <c r="C24" s="104" t="s">
        <v>347</v>
      </c>
      <c r="D24" s="104" t="s">
        <v>9</v>
      </c>
      <c r="E24" s="104" t="s">
        <v>10</v>
      </c>
      <c r="F24" s="104" t="s">
        <v>11</v>
      </c>
    </row>
    <row r="25" spans="1:6" ht="25.5" customHeight="1">
      <c r="A25" s="105" t="str">
        <f>'PB VII - Cotações'!A6</f>
        <v>COTAÇÃO 001</v>
      </c>
      <c r="B25" s="105" t="s">
        <v>363</v>
      </c>
      <c r="C25" s="105" t="s">
        <v>34</v>
      </c>
      <c r="D25" s="107">
        <v>1</v>
      </c>
      <c r="E25" s="108">
        <f>'PB VII - Cotações'!F8</f>
        <v>106.63</v>
      </c>
      <c r="F25" s="109">
        <f>ROUND(D25*E25,2)</f>
        <v>106.63</v>
      </c>
    </row>
    <row r="26" spans="1:6" ht="25.5" customHeight="1">
      <c r="A26" s="105" t="str">
        <f>'PB VII - Cotações'!A10</f>
        <v>COTAÇÃO 002</v>
      </c>
      <c r="B26" s="105" t="s">
        <v>364</v>
      </c>
      <c r="C26" s="105" t="s">
        <v>34</v>
      </c>
      <c r="D26" s="107">
        <v>2</v>
      </c>
      <c r="E26" s="108">
        <f>'PB VII - Cotações'!F12</f>
        <v>40.03</v>
      </c>
      <c r="F26" s="109">
        <f t="shared" ref="F26:F28" si="1">ROUND(D26*E26,2)</f>
        <v>80.06</v>
      </c>
    </row>
    <row r="27" spans="1:6">
      <c r="A27" s="105">
        <v>88264</v>
      </c>
      <c r="B27" s="105" t="s">
        <v>365</v>
      </c>
      <c r="C27" s="105" t="s">
        <v>351</v>
      </c>
      <c r="D27" s="107">
        <v>1</v>
      </c>
      <c r="E27" s="108">
        <v>21.45</v>
      </c>
      <c r="F27" s="109">
        <f t="shared" si="1"/>
        <v>21.45</v>
      </c>
    </row>
    <row r="28" spans="1:6">
      <c r="A28" s="105">
        <v>88316</v>
      </c>
      <c r="B28" s="105" t="s">
        <v>350</v>
      </c>
      <c r="C28" s="105" t="s">
        <v>351</v>
      </c>
      <c r="D28" s="107">
        <v>1</v>
      </c>
      <c r="E28" s="108">
        <v>14.55</v>
      </c>
      <c r="F28" s="109">
        <f t="shared" si="1"/>
        <v>14.55</v>
      </c>
    </row>
    <row r="29" spans="1:6">
      <c r="A29" s="114"/>
      <c r="B29" s="114"/>
      <c r="C29" s="114"/>
      <c r="D29" s="347" t="s">
        <v>202</v>
      </c>
      <c r="E29" s="347"/>
      <c r="F29" s="113">
        <f>SUM(F25:F28)</f>
        <v>222.69</v>
      </c>
    </row>
    <row r="30" spans="1:6">
      <c r="A30" s="114"/>
      <c r="B30" s="114"/>
      <c r="C30" s="114"/>
      <c r="D30" s="114"/>
      <c r="E30" s="115"/>
      <c r="F30" s="114"/>
    </row>
    <row r="31" spans="1:6" ht="24">
      <c r="A31" s="101" t="s">
        <v>327</v>
      </c>
      <c r="B31" s="344" t="s">
        <v>328</v>
      </c>
      <c r="C31" s="345"/>
      <c r="D31" s="346"/>
      <c r="E31" s="102" t="s">
        <v>343</v>
      </c>
      <c r="F31" s="102" t="s">
        <v>349</v>
      </c>
    </row>
    <row r="32" spans="1:6">
      <c r="A32" s="103" t="s">
        <v>345</v>
      </c>
      <c r="B32" s="104" t="s">
        <v>346</v>
      </c>
      <c r="C32" s="104" t="s">
        <v>347</v>
      </c>
      <c r="D32" s="104" t="s">
        <v>9</v>
      </c>
      <c r="E32" s="104" t="s">
        <v>10</v>
      </c>
      <c r="F32" s="104" t="s">
        <v>11</v>
      </c>
    </row>
    <row r="33" spans="1:6">
      <c r="A33" s="105">
        <v>39376</v>
      </c>
      <c r="B33" s="105" t="s">
        <v>366</v>
      </c>
      <c r="C33" s="105" t="s">
        <v>34</v>
      </c>
      <c r="D33" s="107">
        <v>1</v>
      </c>
      <c r="E33" s="108">
        <v>19.55</v>
      </c>
      <c r="F33" s="109">
        <f t="shared" ref="F33:F35" si="2">ROUND(D33*E33,2)</f>
        <v>19.55</v>
      </c>
    </row>
    <row r="34" spans="1:6">
      <c r="A34" s="105">
        <v>88264</v>
      </c>
      <c r="B34" s="105" t="s">
        <v>365</v>
      </c>
      <c r="C34" s="105" t="s">
        <v>351</v>
      </c>
      <c r="D34" s="107">
        <v>0.3</v>
      </c>
      <c r="E34" s="108">
        <v>21.45</v>
      </c>
      <c r="F34" s="109">
        <f t="shared" si="2"/>
        <v>6.44</v>
      </c>
    </row>
    <row r="35" spans="1:6">
      <c r="A35" s="105">
        <v>88247</v>
      </c>
      <c r="B35" s="105" t="s">
        <v>367</v>
      </c>
      <c r="C35" s="105" t="s">
        <v>351</v>
      </c>
      <c r="D35" s="107">
        <v>0.3</v>
      </c>
      <c r="E35" s="108">
        <v>17.28</v>
      </c>
      <c r="F35" s="109">
        <f t="shared" si="2"/>
        <v>5.18</v>
      </c>
    </row>
    <row r="36" spans="1:6">
      <c r="A36" s="114"/>
      <c r="B36" s="114"/>
      <c r="C36" s="114"/>
      <c r="D36" s="347" t="s">
        <v>202</v>
      </c>
      <c r="E36" s="347"/>
      <c r="F36" s="113">
        <f>SUM(F33:F35)</f>
        <v>31.17</v>
      </c>
    </row>
    <row r="37" spans="1:6">
      <c r="A37" s="114"/>
      <c r="B37" s="114"/>
      <c r="C37" s="114"/>
      <c r="D37" s="114"/>
      <c r="E37" s="115"/>
      <c r="F37" s="114"/>
    </row>
    <row r="38" spans="1:6" ht="24">
      <c r="A38" s="101" t="s">
        <v>315</v>
      </c>
      <c r="B38" s="344" t="s">
        <v>316</v>
      </c>
      <c r="C38" s="345"/>
      <c r="D38" s="346"/>
      <c r="E38" s="102" t="s">
        <v>343</v>
      </c>
      <c r="F38" s="102" t="s">
        <v>349</v>
      </c>
    </row>
    <row r="39" spans="1:6">
      <c r="A39" s="103" t="s">
        <v>345</v>
      </c>
      <c r="B39" s="104" t="s">
        <v>346</v>
      </c>
      <c r="C39" s="104" t="s">
        <v>347</v>
      </c>
      <c r="D39" s="104" t="s">
        <v>9</v>
      </c>
      <c r="E39" s="104" t="s">
        <v>10</v>
      </c>
      <c r="F39" s="104" t="s">
        <v>11</v>
      </c>
    </row>
    <row r="40" spans="1:6" ht="24">
      <c r="A40" s="105">
        <v>39374</v>
      </c>
      <c r="B40" s="105" t="s">
        <v>368</v>
      </c>
      <c r="C40" s="105" t="s">
        <v>34</v>
      </c>
      <c r="D40" s="107">
        <v>1</v>
      </c>
      <c r="E40" s="108">
        <v>79.2</v>
      </c>
      <c r="F40" s="109">
        <f t="shared" ref="F40:F42" si="3">ROUND(D40*E40,2)</f>
        <v>79.2</v>
      </c>
    </row>
    <row r="41" spans="1:6">
      <c r="A41" s="105">
        <v>88264</v>
      </c>
      <c r="B41" s="105" t="s">
        <v>365</v>
      </c>
      <c r="C41" s="105" t="s">
        <v>351</v>
      </c>
      <c r="D41" s="107">
        <v>0.6</v>
      </c>
      <c r="E41" s="108">
        <v>21.45</v>
      </c>
      <c r="F41" s="109">
        <f t="shared" si="3"/>
        <v>12.87</v>
      </c>
    </row>
    <row r="42" spans="1:6">
      <c r="A42" s="105">
        <v>88247</v>
      </c>
      <c r="B42" s="105" t="s">
        <v>367</v>
      </c>
      <c r="C42" s="105" t="s">
        <v>351</v>
      </c>
      <c r="D42" s="107">
        <v>0.6</v>
      </c>
      <c r="E42" s="108">
        <v>17.28</v>
      </c>
      <c r="F42" s="109">
        <f t="shared" si="3"/>
        <v>10.37</v>
      </c>
    </row>
    <row r="43" spans="1:6">
      <c r="A43" s="114"/>
      <c r="B43" s="114"/>
      <c r="C43" s="114"/>
      <c r="D43" s="347" t="s">
        <v>202</v>
      </c>
      <c r="E43" s="347"/>
      <c r="F43" s="113">
        <f>SUM(F40:F42)</f>
        <v>102.44000000000001</v>
      </c>
    </row>
    <row r="44" spans="1:6">
      <c r="A44" s="114"/>
      <c r="B44" s="114"/>
      <c r="C44" s="114"/>
      <c r="D44" s="114"/>
      <c r="E44" s="114"/>
      <c r="F44" s="114"/>
    </row>
    <row r="45" spans="1:6" ht="24">
      <c r="A45" s="101" t="s">
        <v>313</v>
      </c>
      <c r="B45" s="344" t="s">
        <v>314</v>
      </c>
      <c r="C45" s="345"/>
      <c r="D45" s="346"/>
      <c r="E45" s="102" t="s">
        <v>343</v>
      </c>
      <c r="F45" s="102" t="s">
        <v>349</v>
      </c>
    </row>
    <row r="46" spans="1:6">
      <c r="A46" s="103" t="s">
        <v>345</v>
      </c>
      <c r="B46" s="104" t="s">
        <v>346</v>
      </c>
      <c r="C46" s="104" t="s">
        <v>347</v>
      </c>
      <c r="D46" s="104" t="s">
        <v>9</v>
      </c>
      <c r="E46" s="104" t="s">
        <v>10</v>
      </c>
      <c r="F46" s="104" t="s">
        <v>11</v>
      </c>
    </row>
    <row r="47" spans="1:6">
      <c r="A47" s="105">
        <v>85416</v>
      </c>
      <c r="B47" s="105" t="s">
        <v>369</v>
      </c>
      <c r="C47" s="105" t="s">
        <v>34</v>
      </c>
      <c r="D47" s="107">
        <v>1</v>
      </c>
      <c r="E47" s="108">
        <v>13.54</v>
      </c>
      <c r="F47" s="109">
        <f>ROUND(D47*E47,2)</f>
        <v>13.54</v>
      </c>
    </row>
    <row r="48" spans="1:6">
      <c r="A48" s="105">
        <v>85407</v>
      </c>
      <c r="B48" s="105" t="s">
        <v>370</v>
      </c>
      <c r="C48" s="105" t="s">
        <v>64</v>
      </c>
      <c r="D48" s="107">
        <v>1</v>
      </c>
      <c r="E48" s="108">
        <v>9.91</v>
      </c>
      <c r="F48" s="109">
        <f>ROUND(D48*E48,2)</f>
        <v>9.91</v>
      </c>
    </row>
    <row r="49" spans="1:6" ht="24">
      <c r="A49" s="105">
        <v>91993</v>
      </c>
      <c r="B49" s="105" t="s">
        <v>371</v>
      </c>
      <c r="C49" s="105" t="s">
        <v>34</v>
      </c>
      <c r="D49" s="107">
        <v>1</v>
      </c>
      <c r="E49" s="108">
        <v>29.92</v>
      </c>
      <c r="F49" s="109">
        <f>ROUND(D49*E49,2)</f>
        <v>29.92</v>
      </c>
    </row>
    <row r="50" spans="1:6" ht="24">
      <c r="A50" s="105">
        <v>91939</v>
      </c>
      <c r="B50" s="105" t="s">
        <v>372</v>
      </c>
      <c r="C50" s="105" t="s">
        <v>34</v>
      </c>
      <c r="D50" s="107">
        <v>1</v>
      </c>
      <c r="E50" s="108">
        <v>21.78</v>
      </c>
      <c r="F50" s="109">
        <f>ROUND(D50*E50,2)</f>
        <v>21.78</v>
      </c>
    </row>
    <row r="51" spans="1:6" ht="24">
      <c r="A51" s="105">
        <v>90456</v>
      </c>
      <c r="B51" s="105" t="s">
        <v>75</v>
      </c>
      <c r="C51" s="105" t="s">
        <v>34</v>
      </c>
      <c r="D51" s="107">
        <v>1</v>
      </c>
      <c r="E51" s="108">
        <v>3.44</v>
      </c>
      <c r="F51" s="109">
        <f>ROUND(D51*E51,2)</f>
        <v>3.44</v>
      </c>
    </row>
    <row r="52" spans="1:6">
      <c r="A52" s="114"/>
      <c r="B52" s="114"/>
      <c r="C52" s="114"/>
      <c r="D52" s="347" t="s">
        <v>202</v>
      </c>
      <c r="E52" s="347"/>
      <c r="F52" s="113">
        <f>SUM(F47:F51)</f>
        <v>78.59</v>
      </c>
    </row>
    <row r="53" spans="1:6">
      <c r="A53" s="114"/>
      <c r="B53" s="114"/>
      <c r="C53" s="114"/>
      <c r="D53" s="114"/>
      <c r="E53" s="115"/>
      <c r="F53" s="114"/>
    </row>
    <row r="54" spans="1:6" ht="24">
      <c r="A54" s="101" t="s">
        <v>336</v>
      </c>
      <c r="B54" s="344" t="s">
        <v>337</v>
      </c>
      <c r="C54" s="345"/>
      <c r="D54" s="346"/>
      <c r="E54" s="102" t="s">
        <v>343</v>
      </c>
      <c r="F54" s="102" t="s">
        <v>349</v>
      </c>
    </row>
    <row r="55" spans="1:6">
      <c r="A55" s="103" t="s">
        <v>345</v>
      </c>
      <c r="B55" s="104" t="s">
        <v>346</v>
      </c>
      <c r="C55" s="104" t="s">
        <v>347</v>
      </c>
      <c r="D55" s="104" t="s">
        <v>9</v>
      </c>
      <c r="E55" s="104" t="s">
        <v>10</v>
      </c>
      <c r="F55" s="104" t="s">
        <v>11</v>
      </c>
    </row>
    <row r="56" spans="1:6" ht="24">
      <c r="A56" s="105" t="str">
        <f>'PB VII - Cotações'!A22</f>
        <v>COTAÇÃO 005</v>
      </c>
      <c r="B56" s="105" t="str">
        <f>'PB VII - Cotações'!A24</f>
        <v>Canaleta PVC, 2000x20x10mm</v>
      </c>
      <c r="C56" s="105" t="s">
        <v>64</v>
      </c>
      <c r="D56" s="107">
        <v>1.1000000000000001</v>
      </c>
      <c r="E56" s="108">
        <f>'PB VII - Cotações'!F24/2</f>
        <v>2.4500000000000002</v>
      </c>
      <c r="F56" s="109">
        <f>ROUND(D56*E56,2)</f>
        <v>2.7</v>
      </c>
    </row>
    <row r="57" spans="1:6">
      <c r="A57" s="105">
        <v>88264</v>
      </c>
      <c r="B57" s="105" t="s">
        <v>365</v>
      </c>
      <c r="C57" s="105" t="s">
        <v>351</v>
      </c>
      <c r="D57" s="107">
        <v>0.05</v>
      </c>
      <c r="E57" s="108">
        <v>21.45</v>
      </c>
      <c r="F57" s="109">
        <f>ROUND(D57*E57,2)</f>
        <v>1.07</v>
      </c>
    </row>
    <row r="58" spans="1:6">
      <c r="A58" s="114"/>
      <c r="B58" s="114"/>
      <c r="C58" s="114"/>
      <c r="D58" s="347" t="s">
        <v>202</v>
      </c>
      <c r="E58" s="347"/>
      <c r="F58" s="113">
        <f>SUM(F56:F57)</f>
        <v>3.7700000000000005</v>
      </c>
    </row>
    <row r="59" spans="1:6">
      <c r="A59" s="114"/>
      <c r="B59" s="114"/>
      <c r="C59" s="114"/>
      <c r="D59" s="114"/>
      <c r="E59" s="115"/>
      <c r="F59" s="114"/>
    </row>
    <row r="60" spans="1:6" ht="24">
      <c r="A60" s="101" t="s">
        <v>325</v>
      </c>
      <c r="B60" s="344" t="s">
        <v>94</v>
      </c>
      <c r="C60" s="345"/>
      <c r="D60" s="346"/>
      <c r="E60" s="102" t="s">
        <v>343</v>
      </c>
      <c r="F60" s="102" t="s">
        <v>349</v>
      </c>
    </row>
    <row r="61" spans="1:6">
      <c r="A61" s="103" t="s">
        <v>345</v>
      </c>
      <c r="B61" s="104" t="s">
        <v>346</v>
      </c>
      <c r="C61" s="104" t="s">
        <v>347</v>
      </c>
      <c r="D61" s="104" t="s">
        <v>9</v>
      </c>
      <c r="E61" s="104" t="s">
        <v>10</v>
      </c>
      <c r="F61" s="104" t="s">
        <v>11</v>
      </c>
    </row>
    <row r="62" spans="1:6" ht="25.5" customHeight="1">
      <c r="A62" s="105">
        <v>3383</v>
      </c>
      <c r="B62" s="105" t="s">
        <v>373</v>
      </c>
      <c r="C62" s="105" t="s">
        <v>34</v>
      </c>
      <c r="D62" s="107">
        <v>1</v>
      </c>
      <c r="E62" s="108">
        <v>18.7</v>
      </c>
      <c r="F62" s="109">
        <f>ROUND(D62*E62,2)</f>
        <v>18.7</v>
      </c>
    </row>
    <row r="63" spans="1:6" ht="24">
      <c r="A63" s="105">
        <v>425</v>
      </c>
      <c r="B63" s="105" t="s">
        <v>374</v>
      </c>
      <c r="C63" s="105" t="s">
        <v>34</v>
      </c>
      <c r="D63" s="107">
        <v>1</v>
      </c>
      <c r="E63" s="108">
        <v>2.2999999999999998</v>
      </c>
      <c r="F63" s="109">
        <f t="shared" ref="F63:F65" si="4">ROUND(D63*E63,2)</f>
        <v>2.2999999999999998</v>
      </c>
    </row>
    <row r="64" spans="1:6">
      <c r="A64" s="105">
        <v>88264</v>
      </c>
      <c r="B64" s="105" t="s">
        <v>365</v>
      </c>
      <c r="C64" s="105" t="s">
        <v>351</v>
      </c>
      <c r="D64" s="107">
        <v>0.4</v>
      </c>
      <c r="E64" s="108">
        <v>21.45</v>
      </c>
      <c r="F64" s="109">
        <f t="shared" si="4"/>
        <v>8.58</v>
      </c>
    </row>
    <row r="65" spans="1:6">
      <c r="A65" s="105">
        <v>88247</v>
      </c>
      <c r="B65" s="105" t="s">
        <v>367</v>
      </c>
      <c r="C65" s="105" t="s">
        <v>351</v>
      </c>
      <c r="D65" s="107">
        <v>0.4</v>
      </c>
      <c r="E65" s="108">
        <v>17.28</v>
      </c>
      <c r="F65" s="109">
        <f t="shared" si="4"/>
        <v>6.91</v>
      </c>
    </row>
    <row r="66" spans="1:6">
      <c r="A66" s="114"/>
      <c r="B66" s="114"/>
      <c r="C66" s="114"/>
      <c r="D66" s="347" t="s">
        <v>202</v>
      </c>
      <c r="E66" s="347"/>
      <c r="F66" s="113">
        <f>SUM(F62:F65)</f>
        <v>36.489999999999995</v>
      </c>
    </row>
    <row r="67" spans="1:6">
      <c r="A67" s="114"/>
      <c r="B67" s="114"/>
      <c r="C67" s="114"/>
      <c r="D67" s="114"/>
      <c r="E67" s="115"/>
      <c r="F67" s="114"/>
    </row>
    <row r="68" spans="1:6" ht="24">
      <c r="A68" s="101" t="s">
        <v>321</v>
      </c>
      <c r="B68" s="344" t="s">
        <v>96</v>
      </c>
      <c r="C68" s="345"/>
      <c r="D68" s="346"/>
      <c r="E68" s="102" t="s">
        <v>343</v>
      </c>
      <c r="F68" s="102" t="s">
        <v>349</v>
      </c>
    </row>
    <row r="69" spans="1:6">
      <c r="A69" s="103" t="s">
        <v>345</v>
      </c>
      <c r="B69" s="104" t="s">
        <v>346</v>
      </c>
      <c r="C69" s="104" t="s">
        <v>347</v>
      </c>
      <c r="D69" s="104" t="s">
        <v>9</v>
      </c>
      <c r="E69" s="104" t="s">
        <v>10</v>
      </c>
      <c r="F69" s="104" t="s">
        <v>11</v>
      </c>
    </row>
    <row r="70" spans="1:6" ht="24">
      <c r="A70" s="105">
        <v>34641</v>
      </c>
      <c r="B70" s="105" t="s">
        <v>375</v>
      </c>
      <c r="C70" s="105" t="s">
        <v>34</v>
      </c>
      <c r="D70" s="107">
        <v>1</v>
      </c>
      <c r="E70" s="108">
        <v>68.66</v>
      </c>
      <c r="F70" s="109">
        <f>ROUND(E70*D70,2)</f>
        <v>68.66</v>
      </c>
    </row>
    <row r="71" spans="1:6" ht="25.5" customHeight="1">
      <c r="A71" s="105">
        <v>88316</v>
      </c>
      <c r="B71" s="105" t="s">
        <v>350</v>
      </c>
      <c r="C71" s="105" t="s">
        <v>351</v>
      </c>
      <c r="D71" s="107">
        <v>1.5</v>
      </c>
      <c r="E71" s="108">
        <v>14.55</v>
      </c>
      <c r="F71" s="109">
        <f>ROUND(E71*D71,2)</f>
        <v>21.83</v>
      </c>
    </row>
    <row r="72" spans="1:6">
      <c r="A72" s="114"/>
      <c r="B72" s="114"/>
      <c r="C72" s="114"/>
      <c r="D72" s="353" t="s">
        <v>202</v>
      </c>
      <c r="E72" s="354"/>
      <c r="F72" s="113">
        <f>ROUND(SUM(F70:F71),2)</f>
        <v>90.49</v>
      </c>
    </row>
    <row r="73" spans="1:6">
      <c r="A73" s="114"/>
      <c r="B73" s="114"/>
      <c r="C73" s="114"/>
      <c r="D73" s="114"/>
      <c r="E73" s="115"/>
      <c r="F73" s="114"/>
    </row>
    <row r="74" spans="1:6" ht="24">
      <c r="A74" s="101" t="s">
        <v>329</v>
      </c>
      <c r="B74" s="344" t="s">
        <v>112</v>
      </c>
      <c r="C74" s="345"/>
      <c r="D74" s="346"/>
      <c r="E74" s="102" t="s">
        <v>343</v>
      </c>
      <c r="F74" s="102" t="s">
        <v>349</v>
      </c>
    </row>
    <row r="75" spans="1:6">
      <c r="A75" s="103" t="s">
        <v>345</v>
      </c>
      <c r="B75" s="104" t="s">
        <v>346</v>
      </c>
      <c r="C75" s="104" t="s">
        <v>347</v>
      </c>
      <c r="D75" s="104" t="s">
        <v>9</v>
      </c>
      <c r="E75" s="104" t="s">
        <v>10</v>
      </c>
      <c r="F75" s="104" t="s">
        <v>11</v>
      </c>
    </row>
    <row r="76" spans="1:6" ht="24">
      <c r="A76" s="105" t="str">
        <f>'PB VII - Cotações'!A14</f>
        <v>COTAÇÃO 003</v>
      </c>
      <c r="B76" s="105" t="s">
        <v>376</v>
      </c>
      <c r="C76" s="105" t="s">
        <v>34</v>
      </c>
      <c r="D76" s="107">
        <v>1</v>
      </c>
      <c r="E76" s="108">
        <f>'PB VII - Cotações'!F16</f>
        <v>96.88</v>
      </c>
      <c r="F76" s="109">
        <f>ROUND(E76*D76,2)</f>
        <v>96.88</v>
      </c>
    </row>
    <row r="77" spans="1:6" ht="24">
      <c r="A77" s="105">
        <v>1579</v>
      </c>
      <c r="B77" s="105" t="s">
        <v>377</v>
      </c>
      <c r="C77" s="105" t="s">
        <v>34</v>
      </c>
      <c r="D77" s="107">
        <v>6</v>
      </c>
      <c r="E77" s="108">
        <v>2.14</v>
      </c>
      <c r="F77" s="109">
        <f t="shared" ref="F77:F79" si="5">ROUND(E77*D77,2)</f>
        <v>12.84</v>
      </c>
    </row>
    <row r="78" spans="1:6">
      <c r="A78" s="105">
        <v>88264</v>
      </c>
      <c r="B78" s="105" t="s">
        <v>365</v>
      </c>
      <c r="C78" s="105" t="s">
        <v>351</v>
      </c>
      <c r="D78" s="107">
        <v>0.27</v>
      </c>
      <c r="E78" s="108">
        <v>21.45</v>
      </c>
      <c r="F78" s="109">
        <f t="shared" si="5"/>
        <v>5.79</v>
      </c>
    </row>
    <row r="79" spans="1:6">
      <c r="A79" s="105">
        <v>88247</v>
      </c>
      <c r="B79" s="105" t="s">
        <v>367</v>
      </c>
      <c r="C79" s="105" t="s">
        <v>351</v>
      </c>
      <c r="D79" s="107">
        <v>0.27</v>
      </c>
      <c r="E79" s="108">
        <v>17.28</v>
      </c>
      <c r="F79" s="109">
        <f t="shared" si="5"/>
        <v>4.67</v>
      </c>
    </row>
    <row r="80" spans="1:6">
      <c r="A80" s="114"/>
      <c r="B80" s="114"/>
      <c r="C80" s="114"/>
      <c r="D80" s="347" t="s">
        <v>202</v>
      </c>
      <c r="E80" s="347"/>
      <c r="F80" s="113">
        <f>SUM(F76:F79)</f>
        <v>120.18</v>
      </c>
    </row>
    <row r="81" spans="1:6">
      <c r="A81" s="114"/>
      <c r="B81" s="114"/>
      <c r="C81" s="114"/>
      <c r="D81" s="114"/>
      <c r="E81" s="114"/>
      <c r="F81" s="114"/>
    </row>
    <row r="82" spans="1:6" ht="24">
      <c r="A82" s="101" t="s">
        <v>330</v>
      </c>
      <c r="B82" s="344" t="s">
        <v>331</v>
      </c>
      <c r="C82" s="345"/>
      <c r="D82" s="346"/>
      <c r="E82" s="102" t="s">
        <v>343</v>
      </c>
      <c r="F82" s="102" t="s">
        <v>349</v>
      </c>
    </row>
    <row r="83" spans="1:6">
      <c r="A83" s="103" t="s">
        <v>345</v>
      </c>
      <c r="B83" s="104" t="s">
        <v>346</v>
      </c>
      <c r="C83" s="104" t="s">
        <v>347</v>
      </c>
      <c r="D83" s="104" t="s">
        <v>9</v>
      </c>
      <c r="E83" s="104" t="s">
        <v>10</v>
      </c>
      <c r="F83" s="104" t="s">
        <v>11</v>
      </c>
    </row>
    <row r="84" spans="1:6" ht="25.5" customHeight="1">
      <c r="A84" s="105">
        <v>39447</v>
      </c>
      <c r="B84" s="105" t="s">
        <v>378</v>
      </c>
      <c r="C84" s="105" t="s">
        <v>34</v>
      </c>
      <c r="D84" s="107">
        <v>1</v>
      </c>
      <c r="E84" s="108">
        <v>105.07</v>
      </c>
      <c r="F84" s="109">
        <f t="shared" ref="F84:F87" si="6">ROUND(E84*D84,2)</f>
        <v>105.07</v>
      </c>
    </row>
    <row r="85" spans="1:6" ht="24">
      <c r="A85" s="105">
        <v>1571</v>
      </c>
      <c r="B85" s="105" t="s">
        <v>379</v>
      </c>
      <c r="C85" s="105" t="s">
        <v>34</v>
      </c>
      <c r="D85" s="107">
        <v>2</v>
      </c>
      <c r="E85" s="108">
        <v>0.41</v>
      </c>
      <c r="F85" s="109">
        <f t="shared" si="6"/>
        <v>0.82</v>
      </c>
    </row>
    <row r="86" spans="1:6">
      <c r="A86" s="105">
        <v>88264</v>
      </c>
      <c r="B86" s="105" t="s">
        <v>365</v>
      </c>
      <c r="C86" s="105" t="s">
        <v>351</v>
      </c>
      <c r="D86" s="107">
        <v>0.27</v>
      </c>
      <c r="E86" s="108">
        <v>21.45</v>
      </c>
      <c r="F86" s="109">
        <f t="shared" si="6"/>
        <v>5.79</v>
      </c>
    </row>
    <row r="87" spans="1:6">
      <c r="A87" s="105">
        <v>88247</v>
      </c>
      <c r="B87" s="105" t="s">
        <v>367</v>
      </c>
      <c r="C87" s="105" t="s">
        <v>351</v>
      </c>
      <c r="D87" s="107">
        <v>0.27</v>
      </c>
      <c r="E87" s="108">
        <v>17.28</v>
      </c>
      <c r="F87" s="109">
        <f t="shared" si="6"/>
        <v>4.67</v>
      </c>
    </row>
    <row r="88" spans="1:6">
      <c r="A88" s="114"/>
      <c r="B88" s="114"/>
      <c r="C88" s="114"/>
      <c r="D88" s="347" t="s">
        <v>202</v>
      </c>
      <c r="E88" s="347"/>
      <c r="F88" s="113">
        <f>SUM(F84:F87)</f>
        <v>116.35</v>
      </c>
    </row>
    <row r="89" spans="1:6">
      <c r="A89" s="114"/>
      <c r="B89" s="114"/>
      <c r="C89" s="114"/>
      <c r="D89" s="114"/>
      <c r="E89" s="115"/>
      <c r="F89" s="114"/>
    </row>
    <row r="90" spans="1:6" ht="24">
      <c r="A90" s="101" t="s">
        <v>332</v>
      </c>
      <c r="B90" s="344" t="s">
        <v>115</v>
      </c>
      <c r="C90" s="345"/>
      <c r="D90" s="346"/>
      <c r="E90" s="102" t="s">
        <v>343</v>
      </c>
      <c r="F90" s="102" t="s">
        <v>349</v>
      </c>
    </row>
    <row r="91" spans="1:6">
      <c r="A91" s="103" t="s">
        <v>345</v>
      </c>
      <c r="B91" s="104" t="s">
        <v>346</v>
      </c>
      <c r="C91" s="104" t="s">
        <v>347</v>
      </c>
      <c r="D91" s="104" t="s">
        <v>9</v>
      </c>
      <c r="E91" s="104" t="s">
        <v>10</v>
      </c>
      <c r="F91" s="104" t="s">
        <v>11</v>
      </c>
    </row>
    <row r="92" spans="1:6" ht="25.5" customHeight="1">
      <c r="A92" s="105">
        <v>39446</v>
      </c>
      <c r="B92" s="105" t="s">
        <v>380</v>
      </c>
      <c r="C92" s="105" t="s">
        <v>34</v>
      </c>
      <c r="D92" s="107">
        <v>1</v>
      </c>
      <c r="E92" s="108">
        <v>98.25</v>
      </c>
      <c r="F92" s="109">
        <f>ROUND(E92*D92,2)</f>
        <v>98.25</v>
      </c>
    </row>
    <row r="93" spans="1:6" ht="24">
      <c r="A93" s="105">
        <v>1571</v>
      </c>
      <c r="B93" s="105" t="s">
        <v>379</v>
      </c>
      <c r="C93" s="105" t="s">
        <v>34</v>
      </c>
      <c r="D93" s="107">
        <v>2</v>
      </c>
      <c r="E93" s="108">
        <v>0.41</v>
      </c>
      <c r="F93" s="109">
        <f t="shared" ref="F93:F95" si="7">ROUND(E93*D93,2)</f>
        <v>0.82</v>
      </c>
    </row>
    <row r="94" spans="1:6">
      <c r="A94" s="105">
        <v>88264</v>
      </c>
      <c r="B94" s="105" t="s">
        <v>365</v>
      </c>
      <c r="C94" s="105" t="s">
        <v>351</v>
      </c>
      <c r="D94" s="107">
        <v>0.27</v>
      </c>
      <c r="E94" s="108">
        <v>21.45</v>
      </c>
      <c r="F94" s="109">
        <f t="shared" si="7"/>
        <v>5.79</v>
      </c>
    </row>
    <row r="95" spans="1:6">
      <c r="A95" s="105">
        <v>88247</v>
      </c>
      <c r="B95" s="105" t="s">
        <v>367</v>
      </c>
      <c r="C95" s="105" t="s">
        <v>351</v>
      </c>
      <c r="D95" s="107">
        <v>0.27</v>
      </c>
      <c r="E95" s="108">
        <v>17.28</v>
      </c>
      <c r="F95" s="109">
        <f t="shared" si="7"/>
        <v>4.67</v>
      </c>
    </row>
    <row r="96" spans="1:6">
      <c r="A96" s="114"/>
      <c r="B96" s="114"/>
      <c r="C96" s="114"/>
      <c r="D96" s="347" t="s">
        <v>202</v>
      </c>
      <c r="E96" s="347"/>
      <c r="F96" s="113">
        <f>SUM(F92:F95)</f>
        <v>109.53</v>
      </c>
    </row>
    <row r="97" spans="1:6">
      <c r="A97" s="114"/>
      <c r="B97" s="114"/>
      <c r="C97" s="114"/>
      <c r="D97" s="114"/>
      <c r="E97" s="115"/>
      <c r="F97" s="114"/>
    </row>
    <row r="98" spans="1:6" ht="24">
      <c r="A98" s="101" t="s">
        <v>320</v>
      </c>
      <c r="B98" s="344" t="s">
        <v>117</v>
      </c>
      <c r="C98" s="345"/>
      <c r="D98" s="346"/>
      <c r="E98" s="102" t="s">
        <v>343</v>
      </c>
      <c r="F98" s="102" t="s">
        <v>349</v>
      </c>
    </row>
    <row r="99" spans="1:6">
      <c r="A99" s="103" t="s">
        <v>345</v>
      </c>
      <c r="B99" s="104" t="s">
        <v>346</v>
      </c>
      <c r="C99" s="104" t="s">
        <v>347</v>
      </c>
      <c r="D99" s="104" t="s">
        <v>9</v>
      </c>
      <c r="E99" s="104" t="s">
        <v>10</v>
      </c>
      <c r="F99" s="104" t="s">
        <v>11</v>
      </c>
    </row>
    <row r="100" spans="1:6" ht="24">
      <c r="A100" s="105">
        <v>39467</v>
      </c>
      <c r="B100" s="105" t="s">
        <v>381</v>
      </c>
      <c r="C100" s="105" t="s">
        <v>34</v>
      </c>
      <c r="D100" s="107">
        <v>1</v>
      </c>
      <c r="E100" s="108">
        <v>67.510000000000005</v>
      </c>
      <c r="F100" s="109">
        <f>ROUND(E100*D100,2)</f>
        <v>67.510000000000005</v>
      </c>
    </row>
    <row r="101" spans="1:6" ht="25.5" customHeight="1">
      <c r="A101" s="105">
        <v>1571</v>
      </c>
      <c r="B101" s="105" t="s">
        <v>379</v>
      </c>
      <c r="C101" s="105" t="s">
        <v>34</v>
      </c>
      <c r="D101" s="107">
        <v>1</v>
      </c>
      <c r="E101" s="108">
        <v>0.41</v>
      </c>
      <c r="F101" s="109">
        <f t="shared" ref="F101:F104" si="8">ROUND(E101*D101,2)</f>
        <v>0.41</v>
      </c>
    </row>
    <row r="102" spans="1:6" ht="24">
      <c r="A102" s="105">
        <v>1579</v>
      </c>
      <c r="B102" s="105" t="s">
        <v>377</v>
      </c>
      <c r="C102" s="105" t="s">
        <v>34</v>
      </c>
      <c r="D102" s="107">
        <v>1</v>
      </c>
      <c r="E102" s="108">
        <v>2.14</v>
      </c>
      <c r="F102" s="109">
        <f t="shared" si="8"/>
        <v>2.14</v>
      </c>
    </row>
    <row r="103" spans="1:6">
      <c r="A103" s="105">
        <v>88264</v>
      </c>
      <c r="B103" s="105" t="s">
        <v>365</v>
      </c>
      <c r="C103" s="105" t="s">
        <v>351</v>
      </c>
      <c r="D103" s="107">
        <v>6.6000000000000003E-2</v>
      </c>
      <c r="E103" s="108">
        <v>21.45</v>
      </c>
      <c r="F103" s="109">
        <f t="shared" si="8"/>
        <v>1.42</v>
      </c>
    </row>
    <row r="104" spans="1:6">
      <c r="A104" s="105">
        <v>88247</v>
      </c>
      <c r="B104" s="105" t="s">
        <v>367</v>
      </c>
      <c r="C104" s="105" t="s">
        <v>351</v>
      </c>
      <c r="D104" s="107">
        <v>6.6000000000000003E-2</v>
      </c>
      <c r="E104" s="108">
        <v>17.28</v>
      </c>
      <c r="F104" s="109">
        <f t="shared" si="8"/>
        <v>1.1399999999999999</v>
      </c>
    </row>
    <row r="105" spans="1:6">
      <c r="A105" s="114"/>
      <c r="B105" s="114"/>
      <c r="C105" s="114"/>
      <c r="D105" s="347" t="s">
        <v>202</v>
      </c>
      <c r="E105" s="347"/>
      <c r="F105" s="113">
        <f>SUM(F100:F104)</f>
        <v>72.62</v>
      </c>
    </row>
    <row r="106" spans="1:6">
      <c r="A106" s="114"/>
      <c r="B106" s="114"/>
      <c r="C106" s="114"/>
      <c r="D106" s="114"/>
      <c r="E106" s="115"/>
      <c r="F106" s="114"/>
    </row>
    <row r="107" spans="1:6" ht="24">
      <c r="A107" s="101" t="s">
        <v>311</v>
      </c>
      <c r="B107" s="344" t="s">
        <v>312</v>
      </c>
      <c r="C107" s="345"/>
      <c r="D107" s="346"/>
      <c r="E107" s="102" t="s">
        <v>343</v>
      </c>
      <c r="F107" s="102" t="s">
        <v>349</v>
      </c>
    </row>
    <row r="108" spans="1:6" ht="25.5" customHeight="1">
      <c r="A108" s="103" t="s">
        <v>345</v>
      </c>
      <c r="B108" s="104" t="s">
        <v>346</v>
      </c>
      <c r="C108" s="104" t="s">
        <v>347</v>
      </c>
      <c r="D108" s="104" t="s">
        <v>9</v>
      </c>
      <c r="E108" s="104" t="s">
        <v>10</v>
      </c>
      <c r="F108" s="104" t="s">
        <v>11</v>
      </c>
    </row>
    <row r="109" spans="1:6" ht="24">
      <c r="A109" s="105">
        <v>4336</v>
      </c>
      <c r="B109" s="105" t="s">
        <v>382</v>
      </c>
      <c r="C109" s="105" t="s">
        <v>34</v>
      </c>
      <c r="D109" s="107">
        <v>2</v>
      </c>
      <c r="E109" s="108">
        <v>2.42</v>
      </c>
      <c r="F109" s="109">
        <f t="shared" ref="F109:F116" si="9">ROUND(D109*E109,2)</f>
        <v>4.84</v>
      </c>
    </row>
    <row r="110" spans="1:6" ht="24">
      <c r="A110" s="105">
        <v>379</v>
      </c>
      <c r="B110" s="105" t="s">
        <v>383</v>
      </c>
      <c r="C110" s="105" t="s">
        <v>34</v>
      </c>
      <c r="D110" s="107">
        <v>2</v>
      </c>
      <c r="E110" s="108">
        <v>0.47</v>
      </c>
      <c r="F110" s="109">
        <f t="shared" si="9"/>
        <v>0.94</v>
      </c>
    </row>
    <row r="111" spans="1:6" ht="36">
      <c r="A111" s="105">
        <v>995</v>
      </c>
      <c r="B111" s="105" t="s">
        <v>384</v>
      </c>
      <c r="C111" s="105" t="s">
        <v>64</v>
      </c>
      <c r="D111" s="107">
        <v>3</v>
      </c>
      <c r="E111" s="108">
        <v>6.4</v>
      </c>
      <c r="F111" s="109">
        <f t="shared" si="9"/>
        <v>19.2</v>
      </c>
    </row>
    <row r="112" spans="1:6" ht="36">
      <c r="A112" s="105">
        <v>1019</v>
      </c>
      <c r="B112" s="105" t="s">
        <v>385</v>
      </c>
      <c r="C112" s="105" t="s">
        <v>64</v>
      </c>
      <c r="D112" s="107">
        <v>40</v>
      </c>
      <c r="E112" s="108">
        <v>13.43</v>
      </c>
      <c r="F112" s="109">
        <f t="shared" si="9"/>
        <v>537.20000000000005</v>
      </c>
    </row>
    <row r="113" spans="1:6" ht="24">
      <c r="A113" s="105" t="str">
        <f>'PB VII - Cotações'!A14</f>
        <v>COTAÇÃO 003</v>
      </c>
      <c r="B113" s="105" t="s">
        <v>386</v>
      </c>
      <c r="C113" s="105" t="s">
        <v>34</v>
      </c>
      <c r="D113" s="107">
        <v>1</v>
      </c>
      <c r="E113" s="108">
        <f>'PB VII - Cotações'!F16</f>
        <v>96.88</v>
      </c>
      <c r="F113" s="109">
        <f t="shared" si="9"/>
        <v>96.88</v>
      </c>
    </row>
    <row r="114" spans="1:6" ht="24">
      <c r="A114" s="105" t="str">
        <f>'PB VII - Cotações'!A18</f>
        <v>COTAÇÃO 004</v>
      </c>
      <c r="B114" s="105" t="s">
        <v>387</v>
      </c>
      <c r="C114" s="105" t="s">
        <v>34</v>
      </c>
      <c r="D114" s="107">
        <v>1</v>
      </c>
      <c r="E114" s="108">
        <f>'PB VII - Cotações'!F20</f>
        <v>90.58</v>
      </c>
      <c r="F114" s="109">
        <f t="shared" si="9"/>
        <v>90.58</v>
      </c>
    </row>
    <row r="115" spans="1:6">
      <c r="A115" s="105">
        <v>88264</v>
      </c>
      <c r="B115" s="105" t="s">
        <v>365</v>
      </c>
      <c r="C115" s="105" t="s">
        <v>351</v>
      </c>
      <c r="D115" s="107">
        <v>6</v>
      </c>
      <c r="E115" s="108">
        <v>21.45</v>
      </c>
      <c r="F115" s="109">
        <f t="shared" si="9"/>
        <v>128.69999999999999</v>
      </c>
    </row>
    <row r="116" spans="1:6">
      <c r="A116" s="105">
        <v>88316</v>
      </c>
      <c r="B116" s="105" t="s">
        <v>350</v>
      </c>
      <c r="C116" s="105" t="s">
        <v>351</v>
      </c>
      <c r="D116" s="107">
        <v>6</v>
      </c>
      <c r="E116" s="108">
        <v>14.55</v>
      </c>
      <c r="F116" s="109">
        <f t="shared" si="9"/>
        <v>87.3</v>
      </c>
    </row>
    <row r="117" spans="1:6">
      <c r="A117" s="114"/>
      <c r="B117" s="114"/>
      <c r="C117" s="114"/>
      <c r="D117" s="347" t="s">
        <v>202</v>
      </c>
      <c r="E117" s="347"/>
      <c r="F117" s="113">
        <f>SUM(F109:F116)</f>
        <v>965.6400000000001</v>
      </c>
    </row>
    <row r="118" spans="1:6">
      <c r="A118" s="114"/>
      <c r="B118" s="114"/>
      <c r="C118" s="114"/>
      <c r="D118" s="114"/>
      <c r="E118" s="115"/>
      <c r="F118" s="114"/>
    </row>
    <row r="119" spans="1:6" ht="25.5" customHeight="1">
      <c r="A119" s="101" t="s">
        <v>333</v>
      </c>
      <c r="B119" s="344" t="s">
        <v>123</v>
      </c>
      <c r="C119" s="345"/>
      <c r="D119" s="346"/>
      <c r="E119" s="102" t="s">
        <v>343</v>
      </c>
      <c r="F119" s="102" t="s">
        <v>349</v>
      </c>
    </row>
    <row r="120" spans="1:6">
      <c r="A120" s="103" t="s">
        <v>345</v>
      </c>
      <c r="B120" s="104" t="s">
        <v>346</v>
      </c>
      <c r="C120" s="104" t="s">
        <v>347</v>
      </c>
      <c r="D120" s="104" t="s">
        <v>9</v>
      </c>
      <c r="E120" s="104" t="s">
        <v>10</v>
      </c>
      <c r="F120" s="104" t="s">
        <v>11</v>
      </c>
    </row>
    <row r="121" spans="1:6" ht="24">
      <c r="A121" s="105">
        <v>91947</v>
      </c>
      <c r="B121" s="105" t="s">
        <v>388</v>
      </c>
      <c r="C121" s="105" t="s">
        <v>34</v>
      </c>
      <c r="D121" s="107">
        <v>1</v>
      </c>
      <c r="E121" s="108">
        <v>4.3499999999999996</v>
      </c>
      <c r="F121" s="109">
        <f>ROUND(E121*D121,2)</f>
        <v>4.3499999999999996</v>
      </c>
    </row>
    <row r="122" spans="1:6">
      <c r="A122" s="105">
        <v>38104</v>
      </c>
      <c r="B122" s="105" t="s">
        <v>389</v>
      </c>
      <c r="C122" s="105" t="s">
        <v>34</v>
      </c>
      <c r="D122" s="107">
        <v>2</v>
      </c>
      <c r="E122" s="108">
        <v>18.64</v>
      </c>
      <c r="F122" s="109">
        <f>ROUND(E122*D122,2)</f>
        <v>37.28</v>
      </c>
    </row>
    <row r="123" spans="1:6">
      <c r="A123" s="114"/>
      <c r="B123" s="114"/>
      <c r="C123" s="114"/>
      <c r="D123" s="347" t="s">
        <v>202</v>
      </c>
      <c r="E123" s="347"/>
      <c r="F123" s="113">
        <f>SUM(F121:F122)</f>
        <v>41.63</v>
      </c>
    </row>
    <row r="124" spans="1:6">
      <c r="A124" s="114"/>
      <c r="B124" s="114"/>
      <c r="C124" s="114"/>
      <c r="D124" s="114"/>
      <c r="E124" s="115"/>
      <c r="F124" s="114"/>
    </row>
    <row r="125" spans="1:6" ht="24">
      <c r="A125" s="101" t="s">
        <v>326</v>
      </c>
      <c r="B125" s="344" t="s">
        <v>390</v>
      </c>
      <c r="C125" s="345"/>
      <c r="D125" s="346"/>
      <c r="E125" s="102" t="s">
        <v>343</v>
      </c>
      <c r="F125" s="102" t="s">
        <v>349</v>
      </c>
    </row>
    <row r="126" spans="1:6">
      <c r="A126" s="103" t="s">
        <v>345</v>
      </c>
      <c r="B126" s="104" t="s">
        <v>346</v>
      </c>
      <c r="C126" s="104" t="s">
        <v>347</v>
      </c>
      <c r="D126" s="104" t="s">
        <v>9</v>
      </c>
      <c r="E126" s="104" t="s">
        <v>10</v>
      </c>
      <c r="F126" s="104" t="s">
        <v>11</v>
      </c>
    </row>
    <row r="127" spans="1:6" ht="24">
      <c r="A127" s="105">
        <v>91951</v>
      </c>
      <c r="B127" s="105" t="s">
        <v>391</v>
      </c>
      <c r="C127" s="105" t="s">
        <v>34</v>
      </c>
      <c r="D127" s="107">
        <v>1</v>
      </c>
      <c r="E127" s="108">
        <v>6.92</v>
      </c>
      <c r="F127" s="109">
        <f>ROUND(E127*D127,2)</f>
        <v>6.92</v>
      </c>
    </row>
    <row r="128" spans="1:6">
      <c r="A128" s="105">
        <v>38104</v>
      </c>
      <c r="B128" s="105" t="s">
        <v>389</v>
      </c>
      <c r="C128" s="105" t="s">
        <v>34</v>
      </c>
      <c r="D128" s="107">
        <v>3</v>
      </c>
      <c r="E128" s="108">
        <v>18.64</v>
      </c>
      <c r="F128" s="109">
        <f>ROUND(E128*D128,2)</f>
        <v>55.92</v>
      </c>
    </row>
    <row r="129" spans="1:6">
      <c r="A129" s="114"/>
      <c r="B129" s="114"/>
      <c r="C129" s="114"/>
      <c r="D129" s="347" t="s">
        <v>202</v>
      </c>
      <c r="E129" s="347"/>
      <c r="F129" s="113">
        <f>SUM(F127:F128)</f>
        <v>62.84</v>
      </c>
    </row>
    <row r="130" spans="1:6">
      <c r="A130" s="114"/>
      <c r="B130" s="114"/>
      <c r="C130" s="114"/>
      <c r="D130" s="114"/>
      <c r="E130" s="114"/>
      <c r="F130" s="114"/>
    </row>
    <row r="131" spans="1:6" ht="27.75" customHeight="1">
      <c r="A131" s="116" t="s">
        <v>323</v>
      </c>
      <c r="B131" s="349" t="s">
        <v>324</v>
      </c>
      <c r="C131" s="350"/>
      <c r="D131" s="351"/>
      <c r="E131" s="117" t="s">
        <v>343</v>
      </c>
      <c r="F131" s="117" t="s">
        <v>349</v>
      </c>
    </row>
    <row r="132" spans="1:6" ht="25.5">
      <c r="A132" s="118" t="s">
        <v>345</v>
      </c>
      <c r="B132" s="119" t="s">
        <v>346</v>
      </c>
      <c r="C132" s="120" t="s">
        <v>347</v>
      </c>
      <c r="D132" s="120" t="s">
        <v>9</v>
      </c>
      <c r="E132" s="120" t="s">
        <v>10</v>
      </c>
      <c r="F132" s="120" t="s">
        <v>11</v>
      </c>
    </row>
    <row r="133" spans="1:6" ht="25.5">
      <c r="A133" s="121">
        <v>91951</v>
      </c>
      <c r="B133" s="122" t="s">
        <v>391</v>
      </c>
      <c r="C133" s="123" t="s">
        <v>34</v>
      </c>
      <c r="D133" s="124">
        <v>1</v>
      </c>
      <c r="E133" s="125">
        <v>6.92</v>
      </c>
      <c r="F133" s="126">
        <f>ROUND(D133*E133,2)</f>
        <v>6.92</v>
      </c>
    </row>
    <row r="134" spans="1:6">
      <c r="A134" s="127">
        <v>38104</v>
      </c>
      <c r="B134" s="122" t="s">
        <v>389</v>
      </c>
      <c r="C134" s="123" t="s">
        <v>34</v>
      </c>
      <c r="D134" s="124">
        <v>4</v>
      </c>
      <c r="E134" s="128">
        <v>18.64</v>
      </c>
      <c r="F134" s="126">
        <f>ROUND(D134*E134,2)</f>
        <v>74.56</v>
      </c>
    </row>
    <row r="135" spans="1:6">
      <c r="A135" s="129"/>
      <c r="B135" s="130"/>
      <c r="C135" s="130"/>
      <c r="D135" s="352" t="s">
        <v>202</v>
      </c>
      <c r="E135" s="352"/>
      <c r="F135" s="131">
        <f>SUM(F133:F134)</f>
        <v>81.48</v>
      </c>
    </row>
    <row r="136" spans="1:6">
      <c r="A136" s="114"/>
      <c r="B136" s="114"/>
      <c r="C136" s="114"/>
      <c r="D136" s="114"/>
      <c r="E136" s="115"/>
      <c r="F136" s="114"/>
    </row>
    <row r="137" spans="1:6" ht="24">
      <c r="A137" s="101" t="s">
        <v>318</v>
      </c>
      <c r="B137" s="344" t="s">
        <v>128</v>
      </c>
      <c r="C137" s="345"/>
      <c r="D137" s="346"/>
      <c r="E137" s="102" t="s">
        <v>343</v>
      </c>
      <c r="F137" s="102" t="s">
        <v>349</v>
      </c>
    </row>
    <row r="138" spans="1:6">
      <c r="A138" s="103" t="s">
        <v>345</v>
      </c>
      <c r="B138" s="104" t="s">
        <v>346</v>
      </c>
      <c r="C138" s="104" t="s">
        <v>347</v>
      </c>
      <c r="D138" s="104" t="s">
        <v>9</v>
      </c>
      <c r="E138" s="104" t="s">
        <v>10</v>
      </c>
      <c r="F138" s="104" t="s">
        <v>11</v>
      </c>
    </row>
    <row r="139" spans="1:6">
      <c r="A139" s="105">
        <v>88264</v>
      </c>
      <c r="B139" s="105" t="s">
        <v>392</v>
      </c>
      <c r="C139" s="105" t="s">
        <v>351</v>
      </c>
      <c r="D139" s="107">
        <v>6.3E-2</v>
      </c>
      <c r="E139" s="108">
        <v>21.68</v>
      </c>
      <c r="F139" s="109">
        <f>ROUND(E139*D139,2)</f>
        <v>1.37</v>
      </c>
    </row>
    <row r="140" spans="1:6" ht="24">
      <c r="A140" s="105">
        <v>88247</v>
      </c>
      <c r="B140" s="105" t="s">
        <v>393</v>
      </c>
      <c r="C140" s="105" t="s">
        <v>351</v>
      </c>
      <c r="D140" s="107">
        <v>6.3E-2</v>
      </c>
      <c r="E140" s="108">
        <v>17.28</v>
      </c>
      <c r="F140" s="109">
        <f t="shared" ref="F140:F142" si="10">ROUND(E140*D140,2)</f>
        <v>1.0900000000000001</v>
      </c>
    </row>
    <row r="141" spans="1:6" ht="24">
      <c r="A141" s="105" t="str">
        <f>'PB VII - Cotações'!A45</f>
        <v>COTAÇÃO 010</v>
      </c>
      <c r="B141" s="105" t="s">
        <v>394</v>
      </c>
      <c r="C141" s="105" t="s">
        <v>34</v>
      </c>
      <c r="D141" s="107">
        <v>0.33033333333333298</v>
      </c>
      <c r="E141" s="108">
        <f>'PB VII - Cotações'!F47</f>
        <v>19.579999999999998</v>
      </c>
      <c r="F141" s="109">
        <f t="shared" si="10"/>
        <v>6.47</v>
      </c>
    </row>
    <row r="142" spans="1:6" ht="48">
      <c r="A142" s="105">
        <v>91170</v>
      </c>
      <c r="B142" s="105" t="s">
        <v>395</v>
      </c>
      <c r="C142" s="105" t="s">
        <v>64</v>
      </c>
      <c r="D142" s="107">
        <v>1</v>
      </c>
      <c r="E142" s="108">
        <v>2.41</v>
      </c>
      <c r="F142" s="109">
        <f t="shared" si="10"/>
        <v>2.41</v>
      </c>
    </row>
    <row r="143" spans="1:6">
      <c r="A143" s="114"/>
      <c r="B143" s="114"/>
      <c r="C143" s="114"/>
      <c r="D143" s="347" t="s">
        <v>202</v>
      </c>
      <c r="E143" s="347"/>
      <c r="F143" s="113">
        <f>SUM(F139:F142)</f>
        <v>11.34</v>
      </c>
    </row>
    <row r="144" spans="1:6">
      <c r="A144" s="114"/>
      <c r="B144" s="114"/>
      <c r="C144" s="114"/>
      <c r="D144" s="114"/>
      <c r="E144" s="115"/>
      <c r="F144" s="114"/>
    </row>
    <row r="145" spans="1:6" ht="24">
      <c r="A145" s="101" t="s">
        <v>335</v>
      </c>
      <c r="B145" s="344" t="s">
        <v>131</v>
      </c>
      <c r="C145" s="345"/>
      <c r="D145" s="346"/>
      <c r="E145" s="102" t="s">
        <v>343</v>
      </c>
      <c r="F145" s="102" t="s">
        <v>349</v>
      </c>
    </row>
    <row r="146" spans="1:6">
      <c r="A146" s="103" t="s">
        <v>345</v>
      </c>
      <c r="B146" s="104" t="s">
        <v>346</v>
      </c>
      <c r="C146" s="104" t="s">
        <v>347</v>
      </c>
      <c r="D146" s="104" t="s">
        <v>9</v>
      </c>
      <c r="E146" s="104" t="s">
        <v>10</v>
      </c>
      <c r="F146" s="104" t="s">
        <v>11</v>
      </c>
    </row>
    <row r="147" spans="1:6">
      <c r="A147" s="105">
        <v>88264</v>
      </c>
      <c r="B147" s="105" t="s">
        <v>392</v>
      </c>
      <c r="C147" s="105" t="s">
        <v>351</v>
      </c>
      <c r="D147" s="107">
        <v>0.251</v>
      </c>
      <c r="E147" s="108">
        <v>21.45</v>
      </c>
      <c r="F147" s="109">
        <f>ROUND(D147*E147,2)</f>
        <v>5.38</v>
      </c>
    </row>
    <row r="148" spans="1:6" ht="24">
      <c r="A148" s="105">
        <v>88247</v>
      </c>
      <c r="B148" s="105" t="s">
        <v>393</v>
      </c>
      <c r="C148" s="105" t="s">
        <v>351</v>
      </c>
      <c r="D148" s="107">
        <v>0.251</v>
      </c>
      <c r="E148" s="108">
        <v>17.28</v>
      </c>
      <c r="F148" s="109">
        <f t="shared" ref="F148:F153" si="11">ROUND(D148*E148,2)</f>
        <v>4.34</v>
      </c>
    </row>
    <row r="149" spans="1:6" ht="24">
      <c r="A149" s="105" t="str">
        <f>'PB VII - Cotações'!A50</f>
        <v>COTAÇÃO 011</v>
      </c>
      <c r="B149" s="105" t="s">
        <v>396</v>
      </c>
      <c r="C149" s="105" t="s">
        <v>34</v>
      </c>
      <c r="D149" s="107">
        <v>1</v>
      </c>
      <c r="E149" s="108">
        <f>'PB VII - Cotações'!F52</f>
        <v>12.17</v>
      </c>
      <c r="F149" s="109">
        <f t="shared" si="11"/>
        <v>12.17</v>
      </c>
    </row>
    <row r="150" spans="1:6" ht="24">
      <c r="A150" s="105" t="str">
        <f>'PB VII - Cotações'!A28</f>
        <v>COTAÇÃO 006</v>
      </c>
      <c r="B150" s="105" t="s">
        <v>397</v>
      </c>
      <c r="C150" s="105" t="s">
        <v>34</v>
      </c>
      <c r="D150" s="107">
        <v>6</v>
      </c>
      <c r="E150" s="108">
        <f>'PB VII - Cotações'!F30</f>
        <v>0.61</v>
      </c>
      <c r="F150" s="109">
        <f t="shared" si="11"/>
        <v>3.66</v>
      </c>
    </row>
    <row r="151" spans="1:6" ht="24">
      <c r="A151" s="105" t="str">
        <f>'PB VII - Cotações'!A32</f>
        <v>COTAÇÃO 007</v>
      </c>
      <c r="B151" s="105" t="s">
        <v>398</v>
      </c>
      <c r="C151" s="105" t="s">
        <v>34</v>
      </c>
      <c r="D151" s="107">
        <v>25.2</v>
      </c>
      <c r="E151" s="108">
        <v>0.13</v>
      </c>
      <c r="F151" s="109">
        <f t="shared" si="11"/>
        <v>3.28</v>
      </c>
    </row>
    <row r="152" spans="1:6" ht="24">
      <c r="A152" s="105" t="str">
        <f>'PB VII - Cotações'!A36</f>
        <v>COTAÇÃO 008</v>
      </c>
      <c r="B152" s="105" t="s">
        <v>399</v>
      </c>
      <c r="C152" s="105" t="s">
        <v>34</v>
      </c>
      <c r="D152" s="107">
        <v>25.2</v>
      </c>
      <c r="E152" s="108">
        <f>'PB VII - Cotações'!F38</f>
        <v>0.16</v>
      </c>
      <c r="F152" s="109">
        <f t="shared" si="11"/>
        <v>4.03</v>
      </c>
    </row>
    <row r="153" spans="1:6" ht="24">
      <c r="A153" s="105" t="str">
        <f>'PB VII - Cotações'!A40</f>
        <v>COTAÇÃO 009</v>
      </c>
      <c r="B153" s="105" t="s">
        <v>400</v>
      </c>
      <c r="C153" s="105" t="s">
        <v>34</v>
      </c>
      <c r="D153" s="107">
        <v>25.2</v>
      </c>
      <c r="E153" s="108">
        <f>'PB VII - Cotações'!F42</f>
        <v>0.09</v>
      </c>
      <c r="F153" s="109">
        <f t="shared" si="11"/>
        <v>2.27</v>
      </c>
    </row>
    <row r="154" spans="1:6">
      <c r="A154" s="114"/>
      <c r="B154" s="114"/>
      <c r="C154" s="114"/>
      <c r="D154" s="347" t="s">
        <v>202</v>
      </c>
      <c r="E154" s="347"/>
      <c r="F154" s="113">
        <f>SUM(F147:F153)</f>
        <v>35.130000000000003</v>
      </c>
    </row>
    <row r="155" spans="1:6">
      <c r="A155" s="114"/>
      <c r="B155" s="114"/>
      <c r="C155" s="114"/>
      <c r="D155" s="114"/>
      <c r="E155" s="115"/>
      <c r="F155" s="114"/>
    </row>
    <row r="156" spans="1:6">
      <c r="A156" s="114"/>
      <c r="B156" s="114"/>
      <c r="C156" s="114"/>
      <c r="D156" s="114"/>
      <c r="E156" s="115"/>
      <c r="F156" s="114"/>
    </row>
    <row r="157" spans="1:6" ht="24">
      <c r="A157" s="101" t="s">
        <v>322</v>
      </c>
      <c r="B157" s="344" t="s">
        <v>401</v>
      </c>
      <c r="C157" s="345"/>
      <c r="D157" s="346"/>
      <c r="E157" s="102" t="s">
        <v>343</v>
      </c>
      <c r="F157" s="102" t="s">
        <v>349</v>
      </c>
    </row>
    <row r="158" spans="1:6">
      <c r="A158" s="103" t="s">
        <v>345</v>
      </c>
      <c r="B158" s="104" t="s">
        <v>346</v>
      </c>
      <c r="C158" s="104" t="s">
        <v>347</v>
      </c>
      <c r="D158" s="104" t="s">
        <v>9</v>
      </c>
      <c r="E158" s="104" t="s">
        <v>10</v>
      </c>
      <c r="F158" s="104" t="s">
        <v>11</v>
      </c>
    </row>
    <row r="159" spans="1:6">
      <c r="A159" s="105">
        <v>88264</v>
      </c>
      <c r="B159" s="105" t="s">
        <v>392</v>
      </c>
      <c r="C159" s="105" t="s">
        <v>351</v>
      </c>
      <c r="D159" s="107">
        <v>0.188</v>
      </c>
      <c r="E159" s="108">
        <v>21.45</v>
      </c>
      <c r="F159" s="109">
        <f>ROUND(E159*D159,2)</f>
        <v>4.03</v>
      </c>
    </row>
    <row r="160" spans="1:6" ht="24">
      <c r="A160" s="105">
        <v>88247</v>
      </c>
      <c r="B160" s="105" t="s">
        <v>393</v>
      </c>
      <c r="C160" s="105" t="s">
        <v>351</v>
      </c>
      <c r="D160" s="107">
        <v>0.188</v>
      </c>
      <c r="E160" s="108">
        <v>17.28</v>
      </c>
      <c r="F160" s="109">
        <f t="shared" ref="F160:F165" si="12">ROUND(E160*D160,2)</f>
        <v>3.25</v>
      </c>
    </row>
    <row r="161" spans="1:6" ht="24">
      <c r="A161" s="105" t="str">
        <f>'PB VII - Cotações'!A54</f>
        <v>COTAÇÃO 012</v>
      </c>
      <c r="B161" s="105" t="s">
        <v>402</v>
      </c>
      <c r="C161" s="105" t="s">
        <v>34</v>
      </c>
      <c r="D161" s="107">
        <v>1</v>
      </c>
      <c r="E161" s="108">
        <v>11.7</v>
      </c>
      <c r="F161" s="109">
        <f t="shared" si="12"/>
        <v>11.7</v>
      </c>
    </row>
    <row r="162" spans="1:6" ht="24">
      <c r="A162" s="105" t="str">
        <f>'PB VII - Cotações'!A28</f>
        <v>COTAÇÃO 006</v>
      </c>
      <c r="B162" s="105" t="s">
        <v>397</v>
      </c>
      <c r="C162" s="105" t="s">
        <v>34</v>
      </c>
      <c r="D162" s="107">
        <v>4</v>
      </c>
      <c r="E162" s="108">
        <f>'PB VII - Cotações'!F30</f>
        <v>0.61</v>
      </c>
      <c r="F162" s="109">
        <f t="shared" si="12"/>
        <v>2.44</v>
      </c>
    </row>
    <row r="163" spans="1:6" ht="24">
      <c r="A163" s="105" t="str">
        <f>'PB VII - Cotações'!A32</f>
        <v>COTAÇÃO 007</v>
      </c>
      <c r="B163" s="105" t="s">
        <v>398</v>
      </c>
      <c r="C163" s="105" t="s">
        <v>34</v>
      </c>
      <c r="D163" s="107">
        <v>16.8</v>
      </c>
      <c r="E163" s="108">
        <f>'PB VII - Cotações'!F34</f>
        <v>0.1</v>
      </c>
      <c r="F163" s="109">
        <f t="shared" si="12"/>
        <v>1.68</v>
      </c>
    </row>
    <row r="164" spans="1:6" ht="24">
      <c r="A164" s="105" t="str">
        <f>'PB VII - Cotações'!A36</f>
        <v>COTAÇÃO 008</v>
      </c>
      <c r="B164" s="105" t="s">
        <v>399</v>
      </c>
      <c r="C164" s="105" t="s">
        <v>34</v>
      </c>
      <c r="D164" s="107">
        <v>16.8</v>
      </c>
      <c r="E164" s="108">
        <f>'PB VII - Cotações'!F38</f>
        <v>0.16</v>
      </c>
      <c r="F164" s="109">
        <f t="shared" si="12"/>
        <v>2.69</v>
      </c>
    </row>
    <row r="165" spans="1:6" ht="24">
      <c r="A165" s="105" t="str">
        <f>'PB VII - Cotações'!A40</f>
        <v>COTAÇÃO 009</v>
      </c>
      <c r="B165" s="105" t="s">
        <v>400</v>
      </c>
      <c r="C165" s="105" t="s">
        <v>34</v>
      </c>
      <c r="D165" s="107">
        <v>16.8</v>
      </c>
      <c r="E165" s="108">
        <f>'PB VII - Cotações'!F42</f>
        <v>0.09</v>
      </c>
      <c r="F165" s="109">
        <f t="shared" si="12"/>
        <v>1.51</v>
      </c>
    </row>
    <row r="166" spans="1:6" ht="25.5" customHeight="1">
      <c r="A166" s="114"/>
      <c r="B166" s="114"/>
      <c r="C166" s="114"/>
      <c r="D166" s="347" t="s">
        <v>202</v>
      </c>
      <c r="E166" s="347"/>
      <c r="F166" s="113">
        <f>SUM(F159:F165)</f>
        <v>27.300000000000004</v>
      </c>
    </row>
    <row r="167" spans="1:6">
      <c r="A167" s="114"/>
      <c r="B167" s="114"/>
      <c r="C167" s="114"/>
      <c r="D167" s="114"/>
      <c r="E167" s="115"/>
      <c r="F167" s="114"/>
    </row>
    <row r="168" spans="1:6" ht="24">
      <c r="A168" s="101" t="s">
        <v>338</v>
      </c>
      <c r="B168" s="344" t="s">
        <v>135</v>
      </c>
      <c r="C168" s="345"/>
      <c r="D168" s="346"/>
      <c r="E168" s="102" t="s">
        <v>343</v>
      </c>
      <c r="F168" s="102" t="s">
        <v>349</v>
      </c>
    </row>
    <row r="169" spans="1:6">
      <c r="A169" s="103" t="s">
        <v>345</v>
      </c>
      <c r="B169" s="104" t="s">
        <v>346</v>
      </c>
      <c r="C169" s="104" t="s">
        <v>347</v>
      </c>
      <c r="D169" s="104" t="s">
        <v>9</v>
      </c>
      <c r="E169" s="104" t="s">
        <v>10</v>
      </c>
      <c r="F169" s="104" t="s">
        <v>11</v>
      </c>
    </row>
    <row r="170" spans="1:6">
      <c r="A170" s="106">
        <v>88264</v>
      </c>
      <c r="B170" s="106" t="s">
        <v>392</v>
      </c>
      <c r="C170" s="106" t="s">
        <v>351</v>
      </c>
      <c r="D170" s="107">
        <v>0.251</v>
      </c>
      <c r="E170" s="132">
        <v>21.45</v>
      </c>
      <c r="F170" s="133">
        <f>ROUND(E170*D170,2)</f>
        <v>5.38</v>
      </c>
    </row>
    <row r="171" spans="1:6" ht="24">
      <c r="A171" s="106">
        <v>88247</v>
      </c>
      <c r="B171" s="106" t="s">
        <v>393</v>
      </c>
      <c r="C171" s="106" t="s">
        <v>351</v>
      </c>
      <c r="D171" s="107">
        <v>0.251</v>
      </c>
      <c r="E171" s="132">
        <v>17.28</v>
      </c>
      <c r="F171" s="133">
        <f t="shared" ref="F171:F173" si="13">ROUND(E171*D171,2)</f>
        <v>4.34</v>
      </c>
    </row>
    <row r="172" spans="1:6" ht="24">
      <c r="A172" s="134" t="s">
        <v>403</v>
      </c>
      <c r="B172" s="106" t="s">
        <v>404</v>
      </c>
      <c r="C172" s="106" t="s">
        <v>34</v>
      </c>
      <c r="D172" s="107">
        <v>1</v>
      </c>
      <c r="E172" s="132">
        <f>'PB VII - Cotações'!F68</f>
        <v>8.7799999999999994</v>
      </c>
      <c r="F172" s="133">
        <f t="shared" si="13"/>
        <v>8.7799999999999994</v>
      </c>
    </row>
    <row r="173" spans="1:6" ht="24">
      <c r="A173" s="106" t="str">
        <f>'PB VII - Cotações'!A28</f>
        <v>COTAÇÃO 006</v>
      </c>
      <c r="B173" s="106" t="s">
        <v>397</v>
      </c>
      <c r="C173" s="106" t="s">
        <v>34</v>
      </c>
      <c r="D173" s="107">
        <v>2</v>
      </c>
      <c r="E173" s="132">
        <f>'PB VII - Cotações'!F30</f>
        <v>0.61</v>
      </c>
      <c r="F173" s="133">
        <f t="shared" si="13"/>
        <v>1.22</v>
      </c>
    </row>
    <row r="174" spans="1:6" ht="25.5" customHeight="1">
      <c r="A174" s="114"/>
      <c r="B174" s="114"/>
      <c r="C174" s="114"/>
      <c r="D174" s="347" t="s">
        <v>202</v>
      </c>
      <c r="E174" s="347"/>
      <c r="F174" s="113">
        <f>SUM(F170:F173)</f>
        <v>19.72</v>
      </c>
    </row>
    <row r="175" spans="1:6">
      <c r="A175" s="114"/>
      <c r="B175" s="114"/>
      <c r="C175" s="114"/>
      <c r="D175" s="114"/>
      <c r="E175" s="115"/>
      <c r="F175" s="114"/>
    </row>
    <row r="176" spans="1:6" ht="24">
      <c r="A176" s="101" t="s">
        <v>340</v>
      </c>
      <c r="B176" s="344" t="s">
        <v>405</v>
      </c>
      <c r="C176" s="345"/>
      <c r="D176" s="346"/>
      <c r="E176" s="102" t="s">
        <v>343</v>
      </c>
      <c r="F176" s="102" t="s">
        <v>349</v>
      </c>
    </row>
    <row r="177" spans="1:6">
      <c r="A177" s="103" t="s">
        <v>345</v>
      </c>
      <c r="B177" s="104" t="s">
        <v>346</v>
      </c>
      <c r="C177" s="104" t="s">
        <v>347</v>
      </c>
      <c r="D177" s="104" t="s">
        <v>9</v>
      </c>
      <c r="E177" s="104" t="s">
        <v>10</v>
      </c>
      <c r="F177" s="104" t="s">
        <v>11</v>
      </c>
    </row>
    <row r="178" spans="1:6">
      <c r="A178" s="106">
        <v>88264</v>
      </c>
      <c r="B178" s="106" t="s">
        <v>392</v>
      </c>
      <c r="C178" s="106" t="s">
        <v>351</v>
      </c>
      <c r="D178" s="107">
        <v>0.16</v>
      </c>
      <c r="E178" s="132">
        <v>21.45</v>
      </c>
      <c r="F178" s="133">
        <f>ROUND(D178*E178,2)</f>
        <v>3.43</v>
      </c>
    </row>
    <row r="179" spans="1:6" ht="24">
      <c r="A179" s="106">
        <v>88247</v>
      </c>
      <c r="B179" s="106" t="s">
        <v>393</v>
      </c>
      <c r="C179" s="106" t="s">
        <v>351</v>
      </c>
      <c r="D179" s="107">
        <v>0.16</v>
      </c>
      <c r="E179" s="132">
        <v>17.28</v>
      </c>
      <c r="F179" s="133">
        <f t="shared" ref="F179:F180" si="14">ROUND(D179*E179,2)</f>
        <v>2.76</v>
      </c>
    </row>
    <row r="180" spans="1:6" ht="24">
      <c r="A180" s="106" t="str">
        <f>'PB VII - Cotações'!A58</f>
        <v>COTAÇÃO 013</v>
      </c>
      <c r="B180" s="106" t="s">
        <v>406</v>
      </c>
      <c r="C180" s="106" t="s">
        <v>34</v>
      </c>
      <c r="D180" s="107">
        <v>1</v>
      </c>
      <c r="E180" s="132">
        <f>'PB VII - Cotações'!F60</f>
        <v>1.04</v>
      </c>
      <c r="F180" s="133">
        <f t="shared" si="14"/>
        <v>1.04</v>
      </c>
    </row>
    <row r="181" spans="1:6" ht="25.5" customHeight="1">
      <c r="A181" s="114"/>
      <c r="B181" s="114"/>
      <c r="C181" s="114"/>
      <c r="D181" s="347" t="s">
        <v>202</v>
      </c>
      <c r="E181" s="347"/>
      <c r="F181" s="113">
        <f>SUM(F178:F180)</f>
        <v>7.2299999999999995</v>
      </c>
    </row>
    <row r="182" spans="1:6">
      <c r="A182" s="114"/>
      <c r="B182" s="114"/>
      <c r="C182" s="114"/>
      <c r="D182" s="114"/>
      <c r="E182" s="115"/>
      <c r="F182" s="114"/>
    </row>
    <row r="183" spans="1:6" ht="24">
      <c r="A183" s="101" t="s">
        <v>339</v>
      </c>
      <c r="B183" s="344" t="s">
        <v>139</v>
      </c>
      <c r="C183" s="345"/>
      <c r="D183" s="346"/>
      <c r="E183" s="102" t="s">
        <v>343</v>
      </c>
      <c r="F183" s="102" t="s">
        <v>349</v>
      </c>
    </row>
    <row r="184" spans="1:6">
      <c r="A184" s="103" t="s">
        <v>345</v>
      </c>
      <c r="B184" s="104" t="s">
        <v>346</v>
      </c>
      <c r="C184" s="104" t="s">
        <v>347</v>
      </c>
      <c r="D184" s="104" t="s">
        <v>9</v>
      </c>
      <c r="E184" s="104" t="s">
        <v>10</v>
      </c>
      <c r="F184" s="104" t="s">
        <v>11</v>
      </c>
    </row>
    <row r="185" spans="1:6">
      <c r="A185" s="105">
        <v>88264</v>
      </c>
      <c r="B185" s="105" t="s">
        <v>392</v>
      </c>
      <c r="C185" s="105" t="s">
        <v>351</v>
      </c>
      <c r="D185" s="107">
        <v>0.16</v>
      </c>
      <c r="E185" s="108">
        <v>21.45</v>
      </c>
      <c r="F185" s="109">
        <f>ROUND(D185*E185,2)</f>
        <v>3.43</v>
      </c>
    </row>
    <row r="186" spans="1:6" ht="24">
      <c r="A186" s="105">
        <v>88247</v>
      </c>
      <c r="B186" s="105" t="s">
        <v>393</v>
      </c>
      <c r="C186" s="105" t="s">
        <v>351</v>
      </c>
      <c r="D186" s="107">
        <v>0.16</v>
      </c>
      <c r="E186" s="108">
        <v>17.28</v>
      </c>
      <c r="F186" s="109">
        <f t="shared" ref="F186:F187" si="15">ROUND(D186*E186,2)</f>
        <v>2.76</v>
      </c>
    </row>
    <row r="187" spans="1:6" ht="24">
      <c r="A187" s="105" t="str">
        <f>'PB VII - Cotações'!A62</f>
        <v>COTAÇÃO 014</v>
      </c>
      <c r="B187" s="105" t="s">
        <v>407</v>
      </c>
      <c r="C187" s="105" t="s">
        <v>34</v>
      </c>
      <c r="D187" s="107">
        <v>1</v>
      </c>
      <c r="E187" s="108">
        <f>'PB VII - Cotações'!F64</f>
        <v>1.02</v>
      </c>
      <c r="F187" s="109">
        <f t="shared" si="15"/>
        <v>1.02</v>
      </c>
    </row>
    <row r="188" spans="1:6">
      <c r="A188" s="114"/>
      <c r="B188" s="114"/>
      <c r="C188" s="114"/>
      <c r="D188" s="347" t="s">
        <v>202</v>
      </c>
      <c r="E188" s="347"/>
      <c r="F188" s="113">
        <f>SUM(F185:F187)</f>
        <v>7.2099999999999991</v>
      </c>
    </row>
    <row r="189" spans="1:6">
      <c r="A189" s="114"/>
      <c r="B189" s="114"/>
      <c r="C189" s="114"/>
      <c r="D189" s="114"/>
      <c r="E189" s="115"/>
      <c r="F189" s="114"/>
    </row>
    <row r="190" spans="1:6" ht="24">
      <c r="A190" s="101" t="s">
        <v>308</v>
      </c>
      <c r="B190" s="344" t="s">
        <v>408</v>
      </c>
      <c r="C190" s="345"/>
      <c r="D190" s="346"/>
      <c r="E190" s="102" t="s">
        <v>343</v>
      </c>
      <c r="F190" s="102" t="s">
        <v>18</v>
      </c>
    </row>
    <row r="191" spans="1:6">
      <c r="A191" s="103" t="s">
        <v>345</v>
      </c>
      <c r="B191" s="104" t="s">
        <v>346</v>
      </c>
      <c r="C191" s="104" t="s">
        <v>347</v>
      </c>
      <c r="D191" s="104" t="s">
        <v>9</v>
      </c>
      <c r="E191" s="104" t="s">
        <v>10</v>
      </c>
      <c r="F191" s="104" t="s">
        <v>11</v>
      </c>
    </row>
    <row r="192" spans="1:6" ht="24">
      <c r="A192" s="106" t="s">
        <v>409</v>
      </c>
      <c r="B192" s="105" t="s">
        <v>410</v>
      </c>
      <c r="C192" s="105" t="s">
        <v>18</v>
      </c>
      <c r="D192" s="107">
        <v>1.05</v>
      </c>
      <c r="E192" s="108">
        <v>138.58000000000001</v>
      </c>
      <c r="F192" s="109">
        <f>ROUND(D192*E192,2)</f>
        <v>145.51</v>
      </c>
    </row>
    <row r="193" spans="1:9">
      <c r="A193" s="106" t="s">
        <v>411</v>
      </c>
      <c r="B193" s="105" t="s">
        <v>412</v>
      </c>
      <c r="C193" s="105" t="s">
        <v>18</v>
      </c>
      <c r="D193" s="107">
        <v>1.05</v>
      </c>
      <c r="E193" s="108">
        <v>27.45</v>
      </c>
      <c r="F193" s="109">
        <f t="shared" ref="F193:F195" si="16">ROUND(D193*E193,2)</f>
        <v>28.82</v>
      </c>
    </row>
    <row r="194" spans="1:9">
      <c r="A194" s="106" t="s">
        <v>413</v>
      </c>
      <c r="B194" s="105" t="s">
        <v>414</v>
      </c>
      <c r="C194" s="105" t="s">
        <v>359</v>
      </c>
      <c r="D194" s="107">
        <v>0.5</v>
      </c>
      <c r="E194" s="108">
        <v>21.12</v>
      </c>
      <c r="F194" s="109">
        <f t="shared" si="16"/>
        <v>10.56</v>
      </c>
    </row>
    <row r="195" spans="1:9">
      <c r="A195" s="106" t="s">
        <v>415</v>
      </c>
      <c r="B195" s="105" t="s">
        <v>416</v>
      </c>
      <c r="C195" s="105" t="s">
        <v>359</v>
      </c>
      <c r="D195" s="107">
        <v>0.5</v>
      </c>
      <c r="E195" s="108">
        <v>17.09</v>
      </c>
      <c r="F195" s="109">
        <f t="shared" si="16"/>
        <v>8.5500000000000007</v>
      </c>
    </row>
    <row r="196" spans="1:9">
      <c r="A196" s="135"/>
      <c r="B196" s="136"/>
      <c r="C196" s="137"/>
      <c r="D196" s="347" t="s">
        <v>202</v>
      </c>
      <c r="E196" s="347"/>
      <c r="F196" s="113">
        <f>SUM(F192:F195)</f>
        <v>193.44</v>
      </c>
    </row>
    <row r="197" spans="1:9">
      <c r="A197" s="114"/>
      <c r="B197" s="114"/>
      <c r="C197" s="114"/>
      <c r="D197" s="114"/>
      <c r="E197" s="115"/>
      <c r="F197" s="114"/>
    </row>
    <row r="198" spans="1:9">
      <c r="A198" s="114"/>
      <c r="B198" s="114"/>
      <c r="C198" s="114"/>
      <c r="D198" s="114"/>
      <c r="E198" s="115"/>
      <c r="F198" s="114"/>
    </row>
    <row r="199" spans="1:9" ht="24">
      <c r="A199" s="101" t="s">
        <v>334</v>
      </c>
      <c r="B199" s="344" t="s">
        <v>417</v>
      </c>
      <c r="C199" s="345"/>
      <c r="D199" s="346"/>
      <c r="E199" s="102" t="s">
        <v>343</v>
      </c>
      <c r="F199" s="102" t="s">
        <v>349</v>
      </c>
    </row>
    <row r="200" spans="1:9">
      <c r="A200" s="103" t="s">
        <v>345</v>
      </c>
      <c r="B200" s="104" t="s">
        <v>346</v>
      </c>
      <c r="C200" s="104" t="s">
        <v>347</v>
      </c>
      <c r="D200" s="104" t="s">
        <v>9</v>
      </c>
      <c r="E200" s="104" t="s">
        <v>10</v>
      </c>
      <c r="F200" s="104" t="s">
        <v>11</v>
      </c>
    </row>
    <row r="201" spans="1:9">
      <c r="A201" s="105">
        <v>72843</v>
      </c>
      <c r="B201" s="105" t="s">
        <v>418</v>
      </c>
      <c r="C201" s="106" t="s">
        <v>298</v>
      </c>
      <c r="D201" s="138">
        <f>'PB VI - MEMÓRIA DE CÁLCULO'!G101</f>
        <v>170.678</v>
      </c>
      <c r="E201" s="108">
        <v>0.61</v>
      </c>
      <c r="F201" s="109">
        <f>ROUND(D201*E201,2)</f>
        <v>104.11</v>
      </c>
    </row>
    <row r="202" spans="1:9">
      <c r="A202" s="110"/>
      <c r="B202" s="111"/>
      <c r="C202" s="112"/>
      <c r="D202" s="340" t="s">
        <v>202</v>
      </c>
      <c r="E202" s="340"/>
      <c r="F202" s="139">
        <f>SUM(F201:F201)</f>
        <v>104.11</v>
      </c>
    </row>
    <row r="203" spans="1:9">
      <c r="A203" s="341" t="s">
        <v>419</v>
      </c>
      <c r="B203" s="342"/>
      <c r="C203" s="342"/>
      <c r="D203" s="342"/>
      <c r="E203" s="342"/>
      <c r="F203" s="343"/>
    </row>
    <row r="204" spans="1:9" ht="24.75" customHeight="1">
      <c r="A204" s="114"/>
      <c r="B204" s="114"/>
      <c r="C204" s="114"/>
      <c r="D204" s="114"/>
      <c r="E204" s="115"/>
      <c r="F204" s="114"/>
    </row>
    <row r="205" spans="1:9" ht="24">
      <c r="A205" s="101" t="s">
        <v>305</v>
      </c>
      <c r="B205" s="344" t="s">
        <v>420</v>
      </c>
      <c r="C205" s="345"/>
      <c r="D205" s="346"/>
      <c r="E205" s="102" t="s">
        <v>343</v>
      </c>
      <c r="F205" s="102" t="s">
        <v>349</v>
      </c>
    </row>
    <row r="206" spans="1:9">
      <c r="A206" s="103" t="s">
        <v>345</v>
      </c>
      <c r="B206" s="104" t="s">
        <v>346</v>
      </c>
      <c r="C206" s="104" t="s">
        <v>347</v>
      </c>
      <c r="D206" s="104" t="s">
        <v>9</v>
      </c>
      <c r="E206" s="104" t="s">
        <v>10</v>
      </c>
      <c r="F206" s="104" t="s">
        <v>11</v>
      </c>
    </row>
    <row r="207" spans="1:9">
      <c r="A207" s="140">
        <v>90777</v>
      </c>
      <c r="B207" s="141" t="s">
        <v>421</v>
      </c>
      <c r="C207" s="106" t="s">
        <v>351</v>
      </c>
      <c r="D207" s="142">
        <f>1*4*4*2</f>
        <v>32</v>
      </c>
      <c r="E207" s="143">
        <v>79.78</v>
      </c>
      <c r="F207" s="109">
        <f>ROUND(D207*E207,2)</f>
        <v>2552.96</v>
      </c>
    </row>
    <row r="208" spans="1:9">
      <c r="A208" s="144">
        <v>90780</v>
      </c>
      <c r="B208" s="145" t="s">
        <v>422</v>
      </c>
      <c r="C208" s="146" t="s">
        <v>351</v>
      </c>
      <c r="D208" s="147">
        <v>174</v>
      </c>
      <c r="E208" s="109">
        <v>39.19</v>
      </c>
      <c r="F208" s="109">
        <f>ROUND(D208*E208,2)</f>
        <v>6819.06</v>
      </c>
      <c r="I208" s="149">
        <v>5903.33</v>
      </c>
    </row>
    <row r="209" spans="1:9">
      <c r="A209" s="148">
        <v>88326</v>
      </c>
      <c r="B209" s="145" t="s">
        <v>423</v>
      </c>
      <c r="C209" s="146" t="s">
        <v>351</v>
      </c>
      <c r="D209" s="147">
        <v>349</v>
      </c>
      <c r="E209" s="109">
        <v>19.440000000000001</v>
      </c>
      <c r="F209" s="109">
        <f>ROUND(D209*E209,2)</f>
        <v>6784.56</v>
      </c>
      <c r="I209">
        <v>6001.76</v>
      </c>
    </row>
    <row r="210" spans="1:9">
      <c r="A210" s="110"/>
      <c r="B210" s="111"/>
      <c r="C210" s="112"/>
      <c r="D210" s="347" t="s">
        <v>202</v>
      </c>
      <c r="E210" s="347"/>
      <c r="F210" s="113">
        <f>SUM(F207:F209)</f>
        <v>16156.580000000002</v>
      </c>
    </row>
    <row r="211" spans="1:9">
      <c r="A211" s="114"/>
      <c r="B211" s="114"/>
      <c r="C211" s="114"/>
      <c r="D211" s="114"/>
      <c r="E211" s="114"/>
      <c r="F211" s="114"/>
    </row>
    <row r="212" spans="1:9">
      <c r="A212" s="348"/>
      <c r="B212" s="348"/>
      <c r="C212" s="348"/>
      <c r="D212" s="348"/>
      <c r="E212" s="348"/>
      <c r="F212" s="348"/>
    </row>
    <row r="215" spans="1:9">
      <c r="A215" s="40"/>
      <c r="B215" s="40"/>
      <c r="C215" s="40"/>
      <c r="D215" s="40"/>
      <c r="E215" s="40"/>
      <c r="F215" s="40"/>
    </row>
    <row r="216" spans="1:9">
      <c r="A216" s="40"/>
      <c r="B216" s="40"/>
      <c r="C216" s="40"/>
      <c r="D216" s="40"/>
      <c r="E216" s="40"/>
      <c r="F216" s="40"/>
    </row>
  </sheetData>
  <mergeCells count="60">
    <mergeCell ref="A1:F1"/>
    <mergeCell ref="A2:F2"/>
    <mergeCell ref="A3:F3"/>
    <mergeCell ref="A4:F4"/>
    <mergeCell ref="A5:F5"/>
    <mergeCell ref="A6:F6"/>
    <mergeCell ref="B8:D8"/>
    <mergeCell ref="D12:E12"/>
    <mergeCell ref="B15:D15"/>
    <mergeCell ref="D21:E21"/>
    <mergeCell ref="B23:D23"/>
    <mergeCell ref="D29:E29"/>
    <mergeCell ref="B31:D31"/>
    <mergeCell ref="D36:E36"/>
    <mergeCell ref="B38:D38"/>
    <mergeCell ref="D43:E43"/>
    <mergeCell ref="B45:D45"/>
    <mergeCell ref="D52:E52"/>
    <mergeCell ref="B54:D54"/>
    <mergeCell ref="D58:E58"/>
    <mergeCell ref="B60:D60"/>
    <mergeCell ref="D66:E66"/>
    <mergeCell ref="B68:D68"/>
    <mergeCell ref="D72:E72"/>
    <mergeCell ref="B74:D74"/>
    <mergeCell ref="D80:E80"/>
    <mergeCell ref="B82:D82"/>
    <mergeCell ref="D88:E88"/>
    <mergeCell ref="B90:D90"/>
    <mergeCell ref="D96:E96"/>
    <mergeCell ref="B98:D98"/>
    <mergeCell ref="D105:E105"/>
    <mergeCell ref="B107:D107"/>
    <mergeCell ref="D117:E117"/>
    <mergeCell ref="B119:D119"/>
    <mergeCell ref="D123:E123"/>
    <mergeCell ref="B125:D125"/>
    <mergeCell ref="D129:E129"/>
    <mergeCell ref="B131:D131"/>
    <mergeCell ref="D135:E135"/>
    <mergeCell ref="B137:D137"/>
    <mergeCell ref="D143:E143"/>
    <mergeCell ref="B145:D145"/>
    <mergeCell ref="D154:E154"/>
    <mergeCell ref="B157:D157"/>
    <mergeCell ref="D166:E166"/>
    <mergeCell ref="B168:D168"/>
    <mergeCell ref="D174:E174"/>
    <mergeCell ref="B176:D176"/>
    <mergeCell ref="D181:E181"/>
    <mergeCell ref="B183:D183"/>
    <mergeCell ref="D188:E188"/>
    <mergeCell ref="B190:D190"/>
    <mergeCell ref="D196:E196"/>
    <mergeCell ref="B199:D199"/>
    <mergeCell ref="D202:E202"/>
    <mergeCell ref="A203:F203"/>
    <mergeCell ref="B205:D205"/>
    <mergeCell ref="D210:E210"/>
    <mergeCell ref="A212:F212"/>
  </mergeCells>
  <printOptions horizontalCentered="1"/>
  <pageMargins left="0.39305555555555599" right="0" top="1.37777777777778" bottom="0.39305555555555599" header="0" footer="0"/>
  <pageSetup paperSize="9" scale="71" orientation="portrait" r:id="rId1"/>
  <headerFooter>
    <oddHeader>&amp;C&amp;10
&amp;G
DEFENSORIA PÚBLICA DO ESTADO DE RORAIMA
“Amazônia: Patrimônio dos brasileiros”
____________________________________________________________________________________________________</oddHeader>
    <oddFooter>&amp;C&amp;"Arial,Normal"&amp;9Página &amp;P de &amp;N</oddFooter>
  </headerFooter>
  <rowBreaks count="4" manualBreakCount="4">
    <brk id="52" max="5" man="1"/>
    <brk id="97" max="5" man="1"/>
    <brk id="136" max="5" man="1"/>
    <brk id="181" max="5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view="pageBreakPreview" topLeftCell="A38" zoomScale="70" zoomScaleNormal="100" zoomScaleSheetLayoutView="70" workbookViewId="0">
      <selection activeCell="E48" sqref="E48"/>
    </sheetView>
  </sheetViews>
  <sheetFormatPr defaultColWidth="9" defaultRowHeight="15"/>
  <cols>
    <col min="1" max="1" width="31.140625" customWidth="1"/>
    <col min="2" max="2" width="27.140625" customWidth="1"/>
    <col min="3" max="3" width="28.42578125" customWidth="1"/>
    <col min="4" max="5" width="27" customWidth="1"/>
    <col min="6" max="6" width="18.85546875" customWidth="1"/>
  </cols>
  <sheetData>
    <row r="1" spans="1:6" ht="15.75">
      <c r="A1" s="364" t="s">
        <v>424</v>
      </c>
      <c r="B1" s="365"/>
      <c r="C1" s="365"/>
      <c r="D1" s="365"/>
      <c r="E1" s="365"/>
      <c r="F1" s="365"/>
    </row>
    <row r="2" spans="1:6" ht="15.75">
      <c r="A2" s="41"/>
      <c r="B2" s="41"/>
      <c r="C2" s="42"/>
      <c r="D2" s="41"/>
      <c r="E2" s="41"/>
      <c r="F2" s="43"/>
    </row>
    <row r="3" spans="1:6" ht="15.75">
      <c r="A3" s="366" t="str">
        <f>'PB III - Planilha Orçamentaria'!A4:G4</f>
        <v xml:space="preserve">OBRA: REFORMA DO PRÉDIO DA DEFENSORIA PÚBLICA DO ESTADO DE RORAIMA NO MUNICÍPIO DE CARACARAÍ  - DPE/RR </v>
      </c>
      <c r="B3" s="367"/>
      <c r="C3" s="367"/>
      <c r="D3" s="367"/>
      <c r="E3" s="367"/>
      <c r="F3" s="367"/>
    </row>
    <row r="4" spans="1:6" ht="15.75">
      <c r="A4" s="44"/>
      <c r="B4" s="44"/>
      <c r="C4" s="44"/>
      <c r="D4" s="44"/>
      <c r="E4" s="44"/>
      <c r="F4" s="44"/>
    </row>
    <row r="5" spans="1:6" ht="15.75">
      <c r="A5" s="368" t="s">
        <v>425</v>
      </c>
      <c r="B5" s="369"/>
      <c r="C5" s="369"/>
      <c r="D5" s="369"/>
      <c r="E5" s="369"/>
      <c r="F5" s="370"/>
    </row>
    <row r="6" spans="1:6" ht="15.75">
      <c r="A6" s="45" t="s">
        <v>426</v>
      </c>
      <c r="B6" s="46" t="s">
        <v>427</v>
      </c>
      <c r="C6" s="46" t="s">
        <v>428</v>
      </c>
      <c r="D6" s="46" t="s">
        <v>429</v>
      </c>
      <c r="E6" s="46" t="s">
        <v>430</v>
      </c>
      <c r="F6" s="47"/>
    </row>
    <row r="7" spans="1:6" ht="110.25">
      <c r="A7" s="48" t="s">
        <v>349</v>
      </c>
      <c r="B7" s="49" t="s">
        <v>431</v>
      </c>
      <c r="C7" s="49" t="s">
        <v>432</v>
      </c>
      <c r="D7" s="50" t="s">
        <v>433</v>
      </c>
      <c r="E7" s="49" t="s">
        <v>434</v>
      </c>
      <c r="F7" s="51" t="s">
        <v>435</v>
      </c>
    </row>
    <row r="8" spans="1:6" ht="31.5">
      <c r="A8" s="52" t="s">
        <v>436</v>
      </c>
      <c r="B8" s="53">
        <v>130.4</v>
      </c>
      <c r="C8" s="54">
        <v>81.459999999999994</v>
      </c>
      <c r="D8" s="55">
        <v>95</v>
      </c>
      <c r="E8" s="56">
        <v>118.25</v>
      </c>
      <c r="F8" s="57">
        <v>106.63</v>
      </c>
    </row>
    <row r="9" spans="1:6" ht="15.75">
      <c r="A9" s="58"/>
      <c r="B9" s="59"/>
      <c r="C9" s="60"/>
      <c r="D9" s="61"/>
      <c r="E9" s="62"/>
      <c r="F9" s="62"/>
    </row>
    <row r="10" spans="1:6" ht="15.75">
      <c r="A10" s="45" t="s">
        <v>437</v>
      </c>
      <c r="B10" s="46" t="s">
        <v>427</v>
      </c>
      <c r="C10" s="46" t="s">
        <v>428</v>
      </c>
      <c r="D10" s="46" t="s">
        <v>429</v>
      </c>
      <c r="E10" s="46" t="s">
        <v>430</v>
      </c>
      <c r="F10" s="47"/>
    </row>
    <row r="11" spans="1:6" ht="110.25">
      <c r="A11" s="63" t="s">
        <v>349</v>
      </c>
      <c r="B11" s="49" t="s">
        <v>438</v>
      </c>
      <c r="C11" s="49" t="s">
        <v>432</v>
      </c>
      <c r="D11" s="50" t="s">
        <v>439</v>
      </c>
      <c r="E11" s="50" t="s">
        <v>440</v>
      </c>
      <c r="F11" s="51" t="s">
        <v>435</v>
      </c>
    </row>
    <row r="12" spans="1:6" ht="31.5">
      <c r="A12" s="64" t="s">
        <v>441</v>
      </c>
      <c r="B12" s="65">
        <v>61.44</v>
      </c>
      <c r="C12" s="66">
        <v>25.59</v>
      </c>
      <c r="D12" s="67">
        <v>26.81</v>
      </c>
      <c r="E12" s="67">
        <v>53.25</v>
      </c>
      <c r="F12" s="68">
        <f>ROUND(MEDIAN(B12:E12),2)</f>
        <v>40.03</v>
      </c>
    </row>
    <row r="13" spans="1:6" ht="15.75">
      <c r="A13" s="58"/>
      <c r="B13" s="59"/>
      <c r="C13" s="60"/>
      <c r="D13" s="61"/>
      <c r="E13" s="62"/>
      <c r="F13" s="62"/>
    </row>
    <row r="14" spans="1:6" ht="15.75">
      <c r="A14" s="45" t="s">
        <v>442</v>
      </c>
      <c r="B14" s="69" t="s">
        <v>427</v>
      </c>
      <c r="C14" s="69" t="s">
        <v>428</v>
      </c>
      <c r="D14" s="69" t="s">
        <v>429</v>
      </c>
      <c r="E14" s="69" t="s">
        <v>430</v>
      </c>
      <c r="F14" s="70"/>
    </row>
    <row r="15" spans="1:6" ht="110.25">
      <c r="A15" s="71" t="s">
        <v>349</v>
      </c>
      <c r="B15" s="49" t="s">
        <v>438</v>
      </c>
      <c r="C15" s="49" t="s">
        <v>431</v>
      </c>
      <c r="D15" s="50" t="s">
        <v>432</v>
      </c>
      <c r="E15" s="50" t="s">
        <v>439</v>
      </c>
      <c r="F15" s="51" t="s">
        <v>435</v>
      </c>
    </row>
    <row r="16" spans="1:6" ht="47.25">
      <c r="A16" s="72" t="s">
        <v>112</v>
      </c>
      <c r="B16" s="53">
        <v>108.77</v>
      </c>
      <c r="C16" s="54">
        <v>85</v>
      </c>
      <c r="D16" s="56">
        <v>96.28</v>
      </c>
      <c r="E16" s="56">
        <v>97.47</v>
      </c>
      <c r="F16" s="68">
        <f>ROUND(MEDIAN(B16:E16),2)</f>
        <v>96.88</v>
      </c>
    </row>
    <row r="17" spans="1:6" ht="15.75">
      <c r="A17" s="73"/>
      <c r="B17" s="58"/>
      <c r="C17" s="74"/>
      <c r="D17" s="61"/>
      <c r="E17" s="62"/>
      <c r="F17" s="62"/>
    </row>
    <row r="18" spans="1:6" ht="15.75">
      <c r="A18" s="45" t="s">
        <v>443</v>
      </c>
      <c r="B18" s="69" t="s">
        <v>427</v>
      </c>
      <c r="C18" s="69" t="s">
        <v>428</v>
      </c>
      <c r="D18" s="69" t="s">
        <v>429</v>
      </c>
      <c r="E18" s="69" t="s">
        <v>430</v>
      </c>
      <c r="F18" s="75"/>
    </row>
    <row r="19" spans="1:6" ht="110.25">
      <c r="A19" s="71" t="s">
        <v>349</v>
      </c>
      <c r="B19" s="49" t="s">
        <v>432</v>
      </c>
      <c r="C19" s="50" t="s">
        <v>439</v>
      </c>
      <c r="D19" s="50" t="s">
        <v>440</v>
      </c>
      <c r="E19" s="50" t="s">
        <v>433</v>
      </c>
      <c r="F19" s="51" t="s">
        <v>435</v>
      </c>
    </row>
    <row r="20" spans="1:6" ht="47.25">
      <c r="A20" s="72" t="s">
        <v>387</v>
      </c>
      <c r="B20" s="54">
        <v>96.37</v>
      </c>
      <c r="C20" s="56">
        <v>84.79</v>
      </c>
      <c r="D20" s="56">
        <v>81.19</v>
      </c>
      <c r="E20" s="76">
        <v>98</v>
      </c>
      <c r="F20" s="68">
        <f>ROUND(MEDIAN(B20:E20),2)</f>
        <v>90.58</v>
      </c>
    </row>
    <row r="21" spans="1:6" ht="15.75">
      <c r="A21" s="77"/>
      <c r="B21" s="78"/>
      <c r="C21" s="78"/>
      <c r="D21" s="78"/>
      <c r="E21" s="78"/>
      <c r="F21" s="78"/>
    </row>
    <row r="22" spans="1:6" ht="15.75">
      <c r="A22" s="45" t="s">
        <v>444</v>
      </c>
      <c r="B22" s="69" t="s">
        <v>427</v>
      </c>
      <c r="C22" s="69" t="s">
        <v>428</v>
      </c>
      <c r="D22" s="69" t="s">
        <v>429</v>
      </c>
      <c r="E22" s="69"/>
      <c r="F22" s="75"/>
    </row>
    <row r="23" spans="1:6" ht="110.25">
      <c r="A23" s="71" t="s">
        <v>349</v>
      </c>
      <c r="B23" s="49" t="s">
        <v>432</v>
      </c>
      <c r="C23" s="50" t="s">
        <v>440</v>
      </c>
      <c r="D23" s="50" t="s">
        <v>433</v>
      </c>
      <c r="E23" s="50"/>
      <c r="F23" s="51" t="s">
        <v>435</v>
      </c>
    </row>
    <row r="24" spans="1:6" ht="15.75">
      <c r="A24" s="72" t="s">
        <v>445</v>
      </c>
      <c r="B24" s="54">
        <v>2.89</v>
      </c>
      <c r="C24" s="76">
        <v>4.9000000000000004</v>
      </c>
      <c r="D24" s="76">
        <v>5.59</v>
      </c>
      <c r="E24" s="76"/>
      <c r="F24" s="68">
        <f>ROUND(MEDIAN(B24:E24),2)</f>
        <v>4.9000000000000004</v>
      </c>
    </row>
    <row r="25" spans="1:6" ht="15.75">
      <c r="A25" s="77"/>
      <c r="B25" s="78"/>
      <c r="C25" s="78"/>
      <c r="D25" s="78"/>
      <c r="E25" s="78"/>
      <c r="F25" s="62"/>
    </row>
    <row r="26" spans="1:6" ht="15.75">
      <c r="A26" s="371" t="s">
        <v>446</v>
      </c>
      <c r="B26" s="371"/>
      <c r="C26" s="371"/>
      <c r="D26" s="371"/>
      <c r="E26" s="371"/>
      <c r="F26" s="371"/>
    </row>
    <row r="27" spans="1:6" ht="15.75">
      <c r="A27" s="73"/>
      <c r="B27" s="58"/>
      <c r="C27" s="74"/>
      <c r="D27" s="61"/>
      <c r="E27" s="62"/>
      <c r="F27" s="62"/>
    </row>
    <row r="28" spans="1:6" ht="15.75">
      <c r="A28" s="45" t="s">
        <v>447</v>
      </c>
      <c r="B28" s="69" t="s">
        <v>427</v>
      </c>
      <c r="C28" s="69" t="s">
        <v>428</v>
      </c>
      <c r="D28" s="69" t="s">
        <v>429</v>
      </c>
      <c r="E28" s="79"/>
      <c r="F28" s="75"/>
    </row>
    <row r="29" spans="1:6" ht="176.1" customHeight="1">
      <c r="A29" s="71" t="s">
        <v>349</v>
      </c>
      <c r="B29" s="49" t="s">
        <v>439</v>
      </c>
      <c r="C29" s="49" t="s">
        <v>448</v>
      </c>
      <c r="D29" s="50" t="s">
        <v>449</v>
      </c>
      <c r="E29" s="50" t="s">
        <v>450</v>
      </c>
      <c r="F29" s="51" t="s">
        <v>435</v>
      </c>
    </row>
    <row r="30" spans="1:6" ht="47.25">
      <c r="A30" s="72" t="s">
        <v>451</v>
      </c>
      <c r="B30" s="65">
        <v>1.1100000000000001</v>
      </c>
      <c r="C30" s="66">
        <v>0.42</v>
      </c>
      <c r="D30" s="67">
        <v>0.51</v>
      </c>
      <c r="E30" s="50">
        <v>0.7</v>
      </c>
      <c r="F30" s="68">
        <f>ROUND(MEDIAN(B30:E30),2)</f>
        <v>0.61</v>
      </c>
    </row>
    <row r="31" spans="1:6" ht="15.75">
      <c r="A31" s="77"/>
      <c r="B31" s="78"/>
      <c r="C31" s="78"/>
      <c r="D31" s="78"/>
      <c r="E31" s="78"/>
      <c r="F31" s="78"/>
    </row>
    <row r="32" spans="1:6" ht="15.75">
      <c r="A32" s="45" t="s">
        <v>452</v>
      </c>
      <c r="B32" s="69" t="s">
        <v>427</v>
      </c>
      <c r="C32" s="69" t="s">
        <v>428</v>
      </c>
      <c r="D32" s="69" t="s">
        <v>429</v>
      </c>
      <c r="E32" s="79"/>
      <c r="F32" s="75"/>
    </row>
    <row r="33" spans="1:6" ht="157.5">
      <c r="A33" s="71" t="s">
        <v>349</v>
      </c>
      <c r="B33" s="49" t="s">
        <v>433</v>
      </c>
      <c r="C33" s="49" t="s">
        <v>448</v>
      </c>
      <c r="D33" s="50" t="s">
        <v>449</v>
      </c>
      <c r="E33" s="50" t="s">
        <v>450</v>
      </c>
      <c r="F33" s="51" t="s">
        <v>435</v>
      </c>
    </row>
    <row r="34" spans="1:6" ht="31.5">
      <c r="A34" s="72" t="s">
        <v>453</v>
      </c>
      <c r="B34" s="53">
        <v>0.25</v>
      </c>
      <c r="C34" s="76">
        <f>ROUND(8.36/100,2)</f>
        <v>0.08</v>
      </c>
      <c r="D34" s="76">
        <v>0.11</v>
      </c>
      <c r="E34" s="50">
        <v>0.09</v>
      </c>
      <c r="F34" s="68">
        <f>ROUND(MEDIAN(B34:E34),2)</f>
        <v>0.1</v>
      </c>
    </row>
    <row r="35" spans="1:6" ht="15.75">
      <c r="A35" s="77"/>
      <c r="B35" s="78"/>
      <c r="C35" s="78"/>
      <c r="D35" s="78"/>
      <c r="E35" s="78"/>
      <c r="F35" s="78"/>
    </row>
    <row r="36" spans="1:6" ht="15.75">
      <c r="A36" s="45" t="s">
        <v>454</v>
      </c>
      <c r="B36" s="69" t="s">
        <v>427</v>
      </c>
      <c r="C36" s="69" t="s">
        <v>428</v>
      </c>
      <c r="D36" s="69" t="s">
        <v>429</v>
      </c>
      <c r="E36" s="69" t="s">
        <v>430</v>
      </c>
      <c r="F36" s="70"/>
    </row>
    <row r="37" spans="1:6" ht="110.25">
      <c r="A37" s="71" t="s">
        <v>349</v>
      </c>
      <c r="B37" s="49" t="s">
        <v>438</v>
      </c>
      <c r="C37" s="49" t="s">
        <v>431</v>
      </c>
      <c r="D37" s="50" t="s">
        <v>432</v>
      </c>
      <c r="E37" s="50" t="s">
        <v>433</v>
      </c>
      <c r="F37" s="51" t="s">
        <v>435</v>
      </c>
    </row>
    <row r="38" spans="1:6" ht="15.75">
      <c r="A38" s="72" t="s">
        <v>455</v>
      </c>
      <c r="B38" s="80">
        <v>0.21</v>
      </c>
      <c r="C38" s="80">
        <v>0.35</v>
      </c>
      <c r="D38" s="81">
        <v>0.08</v>
      </c>
      <c r="E38" s="81">
        <v>0.1</v>
      </c>
      <c r="F38" s="68">
        <f>ROUND(MEDIAN(B38:E38),2)</f>
        <v>0.16</v>
      </c>
    </row>
    <row r="39" spans="1:6" ht="15.75">
      <c r="A39" s="77"/>
      <c r="B39" s="78"/>
      <c r="C39" s="78"/>
      <c r="D39" s="78"/>
      <c r="E39" s="78"/>
      <c r="F39" s="78"/>
    </row>
    <row r="40" spans="1:6" ht="15.75">
      <c r="A40" s="45" t="s">
        <v>456</v>
      </c>
      <c r="B40" s="69" t="s">
        <v>427</v>
      </c>
      <c r="C40" s="69" t="s">
        <v>428</v>
      </c>
      <c r="D40" s="69" t="s">
        <v>429</v>
      </c>
      <c r="E40" s="69" t="s">
        <v>430</v>
      </c>
      <c r="F40" s="75"/>
    </row>
    <row r="41" spans="1:6" ht="110.25">
      <c r="A41" s="71" t="s">
        <v>349</v>
      </c>
      <c r="B41" s="49" t="s">
        <v>431</v>
      </c>
      <c r="C41" s="49" t="s">
        <v>439</v>
      </c>
      <c r="D41" s="50" t="s">
        <v>433</v>
      </c>
      <c r="E41" s="50" t="s">
        <v>448</v>
      </c>
      <c r="F41" s="51" t="s">
        <v>435</v>
      </c>
    </row>
    <row r="42" spans="1:6" ht="15.75">
      <c r="A42" s="72" t="s">
        <v>457</v>
      </c>
      <c r="B42" s="82">
        <v>0.2</v>
      </c>
      <c r="C42" s="82">
        <v>7.0000000000000007E-2</v>
      </c>
      <c r="D42" s="76">
        <v>0.1</v>
      </c>
      <c r="E42" s="76">
        <f>ROUND(3.57/100,2)</f>
        <v>0.04</v>
      </c>
      <c r="F42" s="68">
        <f>ROUND(MEDIAN(B42:E42),2)</f>
        <v>0.09</v>
      </c>
    </row>
    <row r="43" spans="1:6" ht="15.75">
      <c r="A43" s="77"/>
      <c r="B43" s="78"/>
      <c r="C43" s="78"/>
      <c r="D43" s="78"/>
      <c r="E43" s="78"/>
      <c r="F43" s="78"/>
    </row>
    <row r="44" spans="1:6" ht="15.75">
      <c r="A44" s="77"/>
      <c r="B44" s="62"/>
      <c r="C44" s="83"/>
      <c r="D44" s="78"/>
      <c r="E44" s="78"/>
      <c r="F44" s="78"/>
    </row>
    <row r="45" spans="1:6" ht="15.75">
      <c r="A45" s="45" t="s">
        <v>458</v>
      </c>
      <c r="B45" s="69" t="s">
        <v>427</v>
      </c>
      <c r="C45" s="69" t="s">
        <v>428</v>
      </c>
      <c r="D45" s="69" t="s">
        <v>429</v>
      </c>
      <c r="E45" s="69" t="s">
        <v>430</v>
      </c>
      <c r="F45" s="75"/>
    </row>
    <row r="46" spans="1:6" ht="157.5">
      <c r="A46" s="71" t="s">
        <v>349</v>
      </c>
      <c r="B46" s="49" t="s">
        <v>448</v>
      </c>
      <c r="C46" s="49" t="s">
        <v>459</v>
      </c>
      <c r="D46" s="50" t="s">
        <v>433</v>
      </c>
      <c r="E46" s="50" t="s">
        <v>450</v>
      </c>
      <c r="F46" s="51" t="s">
        <v>435</v>
      </c>
    </row>
    <row r="47" spans="1:6" ht="31.5">
      <c r="A47" s="72" t="s">
        <v>460</v>
      </c>
      <c r="B47" s="53">
        <v>13.16</v>
      </c>
      <c r="C47" s="54">
        <v>26.77</v>
      </c>
      <c r="D47" s="84">
        <v>26</v>
      </c>
      <c r="E47" s="50">
        <v>5.13</v>
      </c>
      <c r="F47" s="68">
        <f>ROUND(MEDIAN(B47:E47),2)</f>
        <v>19.579999999999998</v>
      </c>
    </row>
    <row r="48" spans="1:6" ht="15.75">
      <c r="A48" s="77"/>
      <c r="B48" s="62"/>
      <c r="C48" s="83"/>
      <c r="D48" s="78"/>
      <c r="E48" s="78"/>
      <c r="F48" s="78"/>
    </row>
    <row r="49" spans="1:6" ht="15.75">
      <c r="A49" s="77"/>
      <c r="B49" s="62"/>
      <c r="C49" s="83"/>
      <c r="D49" s="78"/>
      <c r="E49" s="78"/>
      <c r="F49" s="78"/>
    </row>
    <row r="50" spans="1:6" ht="15.75">
      <c r="A50" s="45" t="s">
        <v>461</v>
      </c>
      <c r="B50" s="69" t="s">
        <v>427</v>
      </c>
      <c r="C50" s="69" t="s">
        <v>428</v>
      </c>
      <c r="D50" s="69" t="s">
        <v>429</v>
      </c>
      <c r="E50" s="69" t="s">
        <v>430</v>
      </c>
      <c r="F50" s="75"/>
    </row>
    <row r="51" spans="1:6" ht="126">
      <c r="A51" s="71" t="s">
        <v>349</v>
      </c>
      <c r="B51" s="49" t="s">
        <v>448</v>
      </c>
      <c r="C51" s="49" t="s">
        <v>459</v>
      </c>
      <c r="D51" s="50" t="s">
        <v>439</v>
      </c>
      <c r="E51" s="50" t="s">
        <v>433</v>
      </c>
      <c r="F51" s="51" t="s">
        <v>435</v>
      </c>
    </row>
    <row r="52" spans="1:6" ht="31.5">
      <c r="A52" s="72" t="s">
        <v>462</v>
      </c>
      <c r="B52" s="82">
        <v>7.46</v>
      </c>
      <c r="C52" s="82">
        <v>10.47</v>
      </c>
      <c r="D52" s="76">
        <v>13.86</v>
      </c>
      <c r="E52" s="76">
        <v>15</v>
      </c>
      <c r="F52" s="68">
        <f>ROUND(MEDIAN(B52:E52),2)</f>
        <v>12.17</v>
      </c>
    </row>
    <row r="53" spans="1:6" ht="15.75">
      <c r="A53" s="77"/>
      <c r="B53" s="62"/>
      <c r="C53" s="83"/>
      <c r="D53" s="78"/>
      <c r="E53" s="78"/>
      <c r="F53" s="78"/>
    </row>
    <row r="54" spans="1:6" ht="15.75">
      <c r="A54" s="45" t="s">
        <v>463</v>
      </c>
      <c r="B54" s="69" t="s">
        <v>427</v>
      </c>
      <c r="C54" s="69" t="s">
        <v>428</v>
      </c>
      <c r="D54" s="69" t="s">
        <v>429</v>
      </c>
      <c r="E54" s="69" t="s">
        <v>430</v>
      </c>
      <c r="F54" s="75"/>
    </row>
    <row r="55" spans="1:6" ht="191.1" customHeight="1">
      <c r="A55" s="71" t="s">
        <v>349</v>
      </c>
      <c r="B55" s="49" t="s">
        <v>448</v>
      </c>
      <c r="C55" s="49" t="s">
        <v>459</v>
      </c>
      <c r="D55" s="50" t="s">
        <v>439</v>
      </c>
      <c r="E55" s="50" t="s">
        <v>450</v>
      </c>
      <c r="F55" s="51" t="s">
        <v>435</v>
      </c>
    </row>
    <row r="56" spans="1:6" ht="31.5">
      <c r="A56" s="72" t="s">
        <v>464</v>
      </c>
      <c r="B56" s="53">
        <v>3.11</v>
      </c>
      <c r="C56" s="54">
        <v>6.05</v>
      </c>
      <c r="D56" s="56">
        <v>7.89</v>
      </c>
      <c r="E56" s="50">
        <v>5.79</v>
      </c>
      <c r="F56" s="68">
        <f>ROUND(MEDIAN(B56:E56),2)</f>
        <v>5.92</v>
      </c>
    </row>
    <row r="57" spans="1:6" ht="15.75">
      <c r="A57" s="73"/>
      <c r="B57" s="77"/>
      <c r="C57" s="74"/>
      <c r="D57" s="61"/>
      <c r="E57" s="62"/>
      <c r="F57" s="85"/>
    </row>
    <row r="58" spans="1:6" ht="15.75">
      <c r="A58" s="45" t="s">
        <v>465</v>
      </c>
      <c r="B58" s="69" t="s">
        <v>427</v>
      </c>
      <c r="C58" s="69" t="s">
        <v>428</v>
      </c>
      <c r="D58" s="69" t="s">
        <v>429</v>
      </c>
      <c r="E58" s="79"/>
      <c r="F58" s="75"/>
    </row>
    <row r="59" spans="1:6" ht="157.5">
      <c r="A59" s="71" t="s">
        <v>349</v>
      </c>
      <c r="B59" s="49" t="s">
        <v>448</v>
      </c>
      <c r="C59" s="49" t="s">
        <v>459</v>
      </c>
      <c r="D59" s="50" t="s">
        <v>450</v>
      </c>
      <c r="E59" s="50"/>
      <c r="F59" s="51" t="s">
        <v>435</v>
      </c>
    </row>
    <row r="60" spans="1:6" ht="15.75">
      <c r="A60" s="72" t="s">
        <v>466</v>
      </c>
      <c r="B60" s="53">
        <v>1.04</v>
      </c>
      <c r="C60" s="54">
        <v>1.77</v>
      </c>
      <c r="D60" s="50">
        <v>0.67</v>
      </c>
      <c r="E60" s="50"/>
      <c r="F60" s="68">
        <f>ROUND(MEDIAN(B60:E60),2)</f>
        <v>1.04</v>
      </c>
    </row>
    <row r="61" spans="1:6" ht="15.75">
      <c r="A61" s="73"/>
      <c r="B61" s="77"/>
      <c r="C61" s="74"/>
      <c r="D61" s="61"/>
      <c r="E61" s="62"/>
      <c r="F61" s="85"/>
    </row>
    <row r="62" spans="1:6" ht="15.75">
      <c r="A62" s="45" t="s">
        <v>467</v>
      </c>
      <c r="B62" s="69" t="s">
        <v>427</v>
      </c>
      <c r="C62" s="69" t="s">
        <v>428</v>
      </c>
      <c r="D62" s="69" t="s">
        <v>429</v>
      </c>
      <c r="E62" s="79"/>
      <c r="F62" s="75"/>
    </row>
    <row r="63" spans="1:6" ht="157.5">
      <c r="A63" s="71" t="s">
        <v>349</v>
      </c>
      <c r="B63" s="49" t="s">
        <v>448</v>
      </c>
      <c r="C63" s="49" t="s">
        <v>459</v>
      </c>
      <c r="D63" s="50" t="s">
        <v>450</v>
      </c>
      <c r="E63" s="50"/>
      <c r="F63" s="51" t="s">
        <v>435</v>
      </c>
    </row>
    <row r="64" spans="1:6" ht="31.5">
      <c r="A64" s="72" t="s">
        <v>468</v>
      </c>
      <c r="B64" s="53">
        <v>1.02</v>
      </c>
      <c r="C64" s="54">
        <v>1.21</v>
      </c>
      <c r="D64" s="50">
        <v>0.91</v>
      </c>
      <c r="E64" s="50"/>
      <c r="F64" s="68">
        <f>ROUND(MEDIAN(B64:E64),2)</f>
        <v>1.02</v>
      </c>
    </row>
    <row r="65" spans="1:6" ht="15.75">
      <c r="A65" s="86"/>
      <c r="B65" s="59"/>
      <c r="C65" s="87"/>
      <c r="D65" s="42"/>
      <c r="E65" s="42"/>
      <c r="F65" s="88"/>
    </row>
    <row r="66" spans="1:6" ht="15.75">
      <c r="A66" s="45" t="s">
        <v>403</v>
      </c>
      <c r="B66" s="69" t="s">
        <v>427</v>
      </c>
      <c r="C66" s="69" t="s">
        <v>428</v>
      </c>
      <c r="D66" s="69" t="s">
        <v>429</v>
      </c>
      <c r="E66" s="79"/>
      <c r="F66" s="75"/>
    </row>
    <row r="67" spans="1:6" ht="157.5">
      <c r="A67" s="89" t="s">
        <v>349</v>
      </c>
      <c r="B67" s="49" t="s">
        <v>448</v>
      </c>
      <c r="C67" s="49" t="s">
        <v>459</v>
      </c>
      <c r="D67" s="50" t="s">
        <v>450</v>
      </c>
      <c r="E67" s="50"/>
      <c r="F67" s="51" t="s">
        <v>435</v>
      </c>
    </row>
    <row r="68" spans="1:6" ht="35.1" customHeight="1">
      <c r="A68" s="90" t="s">
        <v>469</v>
      </c>
      <c r="B68" s="53">
        <v>3.84</v>
      </c>
      <c r="C68" s="54">
        <v>9.1300000000000008</v>
      </c>
      <c r="D68" s="50">
        <v>8.7799999999999994</v>
      </c>
      <c r="E68" s="50"/>
      <c r="F68" s="91">
        <f>ROUND(MEDIAN(B68:E68),2)</f>
        <v>8.7799999999999994</v>
      </c>
    </row>
    <row r="69" spans="1:6" ht="15.75">
      <c r="A69" s="73"/>
      <c r="B69" s="77"/>
      <c r="C69" s="74"/>
      <c r="D69" s="61"/>
      <c r="E69" s="62"/>
      <c r="F69" s="85"/>
    </row>
    <row r="70" spans="1:6" ht="15.75">
      <c r="A70" s="45" t="s">
        <v>303</v>
      </c>
      <c r="B70" s="69" t="s">
        <v>427</v>
      </c>
      <c r="C70" s="69" t="s">
        <v>428</v>
      </c>
      <c r="D70" s="69" t="s">
        <v>429</v>
      </c>
      <c r="E70" s="79"/>
      <c r="F70" s="75"/>
    </row>
    <row r="71" spans="1:6" ht="157.5">
      <c r="A71" s="71" t="s">
        <v>349</v>
      </c>
      <c r="B71" s="49" t="s">
        <v>470</v>
      </c>
      <c r="C71" s="49" t="s">
        <v>471</v>
      </c>
      <c r="D71" s="50" t="s">
        <v>472</v>
      </c>
      <c r="E71" s="50"/>
      <c r="F71" s="51" t="s">
        <v>435</v>
      </c>
    </row>
    <row r="72" spans="1:6" ht="15.75">
      <c r="A72" s="72" t="s">
        <v>473</v>
      </c>
      <c r="B72" s="54">
        <v>55479</v>
      </c>
      <c r="C72" s="54">
        <v>75600</v>
      </c>
      <c r="D72" s="54">
        <v>62537</v>
      </c>
      <c r="E72" s="50"/>
      <c r="F72" s="68">
        <f>ROUND(MEDIAN(B72:E72),2)</f>
        <v>62537</v>
      </c>
    </row>
    <row r="73" spans="1:6" ht="15.75">
      <c r="A73" s="92"/>
      <c r="B73" s="92"/>
      <c r="C73" s="92"/>
      <c r="D73" s="92"/>
      <c r="E73" s="92"/>
      <c r="F73" s="92"/>
    </row>
    <row r="74" spans="1:6" ht="15.75">
      <c r="A74" s="45" t="s">
        <v>306</v>
      </c>
      <c r="B74" s="69" t="s">
        <v>427</v>
      </c>
      <c r="C74" s="69" t="s">
        <v>428</v>
      </c>
      <c r="D74" s="69" t="s">
        <v>429</v>
      </c>
      <c r="E74" s="79"/>
      <c r="F74" s="75"/>
    </row>
    <row r="75" spans="1:6" ht="111.95" customHeight="1">
      <c r="A75" s="93" t="s">
        <v>349</v>
      </c>
      <c r="B75" s="49" t="s">
        <v>474</v>
      </c>
      <c r="C75" s="49" t="s">
        <v>475</v>
      </c>
      <c r="D75" s="50" t="s">
        <v>476</v>
      </c>
      <c r="E75" s="50"/>
      <c r="F75" s="51" t="s">
        <v>435</v>
      </c>
    </row>
    <row r="76" spans="1:6" ht="78.75">
      <c r="A76" s="94" t="s">
        <v>477</v>
      </c>
      <c r="B76" s="54">
        <v>8750.42</v>
      </c>
      <c r="C76" s="54">
        <v>11375</v>
      </c>
      <c r="D76" s="54">
        <v>6350</v>
      </c>
      <c r="E76" s="50"/>
      <c r="F76" s="57">
        <f>ROUND(MEDIAN(B76:E76),2)</f>
        <v>8750.42</v>
      </c>
    </row>
    <row r="78" spans="1:6" ht="15.75">
      <c r="A78" s="45" t="s">
        <v>478</v>
      </c>
      <c r="B78" s="69" t="s">
        <v>427</v>
      </c>
      <c r="C78" s="69" t="s">
        <v>428</v>
      </c>
      <c r="D78" s="69" t="s">
        <v>429</v>
      </c>
      <c r="E78" s="79"/>
      <c r="F78" s="75"/>
    </row>
    <row r="79" spans="1:6" ht="94.5">
      <c r="A79" s="93" t="s">
        <v>349</v>
      </c>
      <c r="B79" s="49" t="s">
        <v>479</v>
      </c>
      <c r="C79" s="49" t="s">
        <v>480</v>
      </c>
      <c r="D79" s="50" t="s">
        <v>481</v>
      </c>
      <c r="E79" s="50"/>
      <c r="F79" s="51" t="s">
        <v>435</v>
      </c>
    </row>
    <row r="80" spans="1:6" ht="31.5">
      <c r="A80" s="94" t="s">
        <v>482</v>
      </c>
      <c r="B80" s="54">
        <v>1500</v>
      </c>
      <c r="C80" s="54">
        <v>1000</v>
      </c>
      <c r="D80" s="54">
        <v>900</v>
      </c>
      <c r="E80" s="50"/>
      <c r="F80" s="57">
        <f>ROUND(MEDIAN(B80:E80),2)</f>
        <v>1000</v>
      </c>
    </row>
  </sheetData>
  <mergeCells count="4">
    <mergeCell ref="A1:F1"/>
    <mergeCell ref="A3:F3"/>
    <mergeCell ref="A5:F5"/>
    <mergeCell ref="A26:F26"/>
  </mergeCells>
  <printOptions horizontalCentered="1" verticalCentered="1"/>
  <pageMargins left="0.51180555555555596" right="0.51180555555555596" top="0.78680555555555598" bottom="0.78680555555555598" header="0.31458333333333299" footer="0.31458333333333299"/>
  <pageSetup paperSize="9" scale="74" orientation="landscape" r:id="rId1"/>
  <rowBreaks count="4" manualBreakCount="4">
    <brk id="17" max="5" man="1"/>
    <brk id="31" max="5" man="1"/>
    <brk id="44" max="5" man="1"/>
    <brk id="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abSelected="1" view="pageBreakPreview" topLeftCell="A4" zoomScale="85" zoomScaleNormal="100" zoomScaleSheetLayoutView="85" workbookViewId="0">
      <selection activeCell="G19" sqref="G19"/>
    </sheetView>
  </sheetViews>
  <sheetFormatPr defaultColWidth="9" defaultRowHeight="15"/>
  <cols>
    <col min="1" max="1" width="9" style="11"/>
    <col min="2" max="3" width="16.42578125" style="11" customWidth="1"/>
    <col min="4" max="4" width="14.85546875" style="11" customWidth="1"/>
    <col min="5" max="5" width="6.5703125" style="11" customWidth="1"/>
    <col min="6" max="6" width="10.85546875" style="11" customWidth="1"/>
    <col min="7" max="7" width="9.28515625" style="11" customWidth="1"/>
    <col min="8" max="8" width="10.85546875" style="11" customWidth="1"/>
    <col min="9" max="9" width="21.42578125" style="11" customWidth="1"/>
  </cols>
  <sheetData>
    <row r="1" spans="1:9" ht="16.5">
      <c r="A1" s="392" t="s">
        <v>483</v>
      </c>
      <c r="B1" s="393"/>
      <c r="C1" s="393"/>
      <c r="D1" s="393"/>
      <c r="E1" s="393"/>
      <c r="F1" s="393"/>
      <c r="G1" s="393"/>
      <c r="H1" s="393"/>
      <c r="I1" s="394"/>
    </row>
    <row r="2" spans="1:9">
      <c r="A2" s="14"/>
      <c r="B2" s="15"/>
      <c r="C2" s="15"/>
      <c r="D2" s="15"/>
      <c r="E2" s="15"/>
      <c r="F2" s="15"/>
      <c r="G2" s="15"/>
      <c r="H2" s="15"/>
      <c r="I2" s="36"/>
    </row>
    <row r="3" spans="1:9" ht="29.1" customHeight="1">
      <c r="A3" s="395" t="str">
        <f>'PB III - Planilha Orçamentaria'!A4:G4</f>
        <v xml:space="preserve">OBRA: REFORMA DO PRÉDIO DA DEFENSORIA PÚBLICA DO ESTADO DE RORAIMA NO MUNICÍPIO DE CARACARAÍ  - DPE/RR </v>
      </c>
      <c r="B3" s="396"/>
      <c r="C3" s="396"/>
      <c r="D3" s="396"/>
      <c r="E3" s="396"/>
      <c r="F3" s="396"/>
      <c r="G3" s="396"/>
      <c r="H3" s="396"/>
      <c r="I3" s="397"/>
    </row>
    <row r="4" spans="1:9">
      <c r="A4" s="14" t="str">
        <f>'PB III - Planilha Orçamentaria'!A6:G6</f>
        <v>ENDEREÇO:Av Dr. Zany, Bairro: Santa Luzia</v>
      </c>
      <c r="B4" s="15"/>
      <c r="C4" s="15"/>
      <c r="D4" s="15"/>
      <c r="E4" s="15"/>
      <c r="F4" s="15"/>
      <c r="G4" s="15"/>
      <c r="H4" s="15"/>
      <c r="I4" s="36"/>
    </row>
    <row r="5" spans="1:9">
      <c r="A5" s="14"/>
      <c r="B5" s="15"/>
      <c r="C5" s="15"/>
      <c r="D5" s="15"/>
      <c r="E5" s="15"/>
      <c r="F5" s="15"/>
      <c r="G5" s="15"/>
      <c r="H5" s="15"/>
      <c r="I5" s="36"/>
    </row>
    <row r="6" spans="1:9" ht="15.75">
      <c r="A6" s="398" t="s">
        <v>484</v>
      </c>
      <c r="B6" s="398"/>
      <c r="C6" s="398"/>
      <c r="D6" s="398"/>
      <c r="E6" s="398"/>
      <c r="F6" s="398"/>
      <c r="G6" s="398"/>
      <c r="H6" s="398"/>
      <c r="I6" s="398"/>
    </row>
    <row r="7" spans="1:9" ht="15.75">
      <c r="A7" s="18"/>
      <c r="B7" s="18"/>
      <c r="C7" s="18"/>
      <c r="D7" s="18"/>
      <c r="E7" s="18"/>
      <c r="F7" s="19"/>
      <c r="G7" s="19"/>
      <c r="H7" s="18"/>
      <c r="I7" s="19"/>
    </row>
    <row r="8" spans="1:9" ht="15.75">
      <c r="A8" s="375" t="s">
        <v>485</v>
      </c>
      <c r="B8" s="375"/>
      <c r="C8" s="375"/>
      <c r="D8" s="375"/>
      <c r="E8" s="375"/>
      <c r="F8" s="375" t="s">
        <v>486</v>
      </c>
      <c r="G8" s="375"/>
      <c r="H8" s="375"/>
      <c r="I8" s="373" t="s">
        <v>487</v>
      </c>
    </row>
    <row r="9" spans="1:9" ht="15.75">
      <c r="A9" s="375"/>
      <c r="B9" s="375"/>
      <c r="C9" s="375"/>
      <c r="D9" s="375"/>
      <c r="E9" s="375"/>
      <c r="F9" s="20" t="s">
        <v>488</v>
      </c>
      <c r="G9" s="20" t="s">
        <v>489</v>
      </c>
      <c r="H9" s="20" t="s">
        <v>490</v>
      </c>
      <c r="I9" s="373"/>
    </row>
    <row r="10" spans="1:9" ht="15.75">
      <c r="A10" s="375" t="s">
        <v>491</v>
      </c>
      <c r="B10" s="390" t="s">
        <v>492</v>
      </c>
      <c r="C10" s="390"/>
      <c r="D10" s="390"/>
      <c r="E10" s="390"/>
      <c r="F10" s="21">
        <v>0.03</v>
      </c>
      <c r="G10" s="22">
        <v>0.04</v>
      </c>
      <c r="H10" s="21">
        <v>5.5E-2</v>
      </c>
      <c r="I10" s="21">
        <f>G10</f>
        <v>0.04</v>
      </c>
    </row>
    <row r="11" spans="1:9" ht="15.75">
      <c r="A11" s="375"/>
      <c r="B11" s="386" t="s">
        <v>493</v>
      </c>
      <c r="C11" s="386"/>
      <c r="D11" s="386"/>
      <c r="E11" s="386"/>
      <c r="F11" s="21">
        <v>8.0000000000000002E-3</v>
      </c>
      <c r="G11" s="22">
        <v>8.0000000000000002E-3</v>
      </c>
      <c r="H11" s="21">
        <v>0.01</v>
      </c>
      <c r="I11" s="21">
        <f>G11</f>
        <v>8.0000000000000002E-3</v>
      </c>
    </row>
    <row r="12" spans="1:9" ht="15.75">
      <c r="A12" s="375"/>
      <c r="B12" s="386" t="s">
        <v>494</v>
      </c>
      <c r="C12" s="386"/>
      <c r="D12" s="386"/>
      <c r="E12" s="386"/>
      <c r="F12" s="21">
        <v>9.7000000000000003E-3</v>
      </c>
      <c r="G12" s="22">
        <v>1.2699999999999999E-2</v>
      </c>
      <c r="H12" s="21">
        <v>1.2699999999999999E-2</v>
      </c>
      <c r="I12" s="21">
        <f>G12</f>
        <v>1.2699999999999999E-2</v>
      </c>
    </row>
    <row r="13" spans="1:9" ht="15.75">
      <c r="A13" s="375"/>
      <c r="B13" s="387" t="s">
        <v>495</v>
      </c>
      <c r="C13" s="387"/>
      <c r="D13" s="387"/>
      <c r="E13" s="387"/>
      <c r="F13" s="387"/>
      <c r="G13" s="387"/>
      <c r="H13" s="387"/>
      <c r="I13" s="24">
        <f>SUM(I10:I12)</f>
        <v>6.0700000000000004E-2</v>
      </c>
    </row>
    <row r="14" spans="1:9" ht="15.75">
      <c r="A14" s="375" t="s">
        <v>496</v>
      </c>
      <c r="B14" s="390" t="s">
        <v>497</v>
      </c>
      <c r="C14" s="390"/>
      <c r="D14" s="390"/>
      <c r="E14" s="390"/>
      <c r="F14" s="21">
        <v>5.8999999999999999E-3</v>
      </c>
      <c r="G14" s="22">
        <v>1.23E-2</v>
      </c>
      <c r="H14" s="21">
        <v>1.3899999999999999E-2</v>
      </c>
      <c r="I14" s="23">
        <f>G14</f>
        <v>1.23E-2</v>
      </c>
    </row>
    <row r="15" spans="1:9" ht="15.75">
      <c r="A15" s="375"/>
      <c r="B15" s="387" t="s">
        <v>495</v>
      </c>
      <c r="C15" s="387"/>
      <c r="D15" s="387"/>
      <c r="E15" s="387"/>
      <c r="F15" s="387"/>
      <c r="G15" s="387"/>
      <c r="H15" s="387"/>
      <c r="I15" s="24">
        <f>I14</f>
        <v>1.23E-2</v>
      </c>
    </row>
    <row r="16" spans="1:9" ht="15.75">
      <c r="A16" s="375" t="s">
        <v>498</v>
      </c>
      <c r="B16" s="390" t="s">
        <v>499</v>
      </c>
      <c r="C16" s="390"/>
      <c r="D16" s="390"/>
      <c r="E16" s="390"/>
      <c r="F16" s="21">
        <v>6.1600000000000002E-2</v>
      </c>
      <c r="G16" s="22">
        <v>7.3999999999999996E-2</v>
      </c>
      <c r="H16" s="21">
        <v>8.9599999999999999E-2</v>
      </c>
      <c r="I16" s="23">
        <f>G16</f>
        <v>7.3999999999999996E-2</v>
      </c>
    </row>
    <row r="17" spans="1:9" ht="15.75">
      <c r="A17" s="375"/>
      <c r="B17" s="387" t="s">
        <v>495</v>
      </c>
      <c r="C17" s="387"/>
      <c r="D17" s="387"/>
      <c r="E17" s="387"/>
      <c r="F17" s="387"/>
      <c r="G17" s="387"/>
      <c r="H17" s="387"/>
      <c r="I17" s="24">
        <f>I16</f>
        <v>7.3999999999999996E-2</v>
      </c>
    </row>
    <row r="18" spans="1:9" ht="15.75">
      <c r="A18" s="375" t="s">
        <v>13</v>
      </c>
      <c r="B18" s="391" t="s">
        <v>500</v>
      </c>
      <c r="C18" s="391"/>
      <c r="D18" s="391"/>
      <c r="E18" s="391"/>
      <c r="F18" s="391"/>
      <c r="G18" s="391"/>
      <c r="H18" s="391"/>
      <c r="I18" s="37"/>
    </row>
    <row r="19" spans="1:9" ht="15.75">
      <c r="A19" s="375"/>
      <c r="B19" s="386" t="s">
        <v>501</v>
      </c>
      <c r="C19" s="386"/>
      <c r="D19" s="386"/>
      <c r="E19" s="386"/>
      <c r="F19" s="23">
        <v>0.03</v>
      </c>
      <c r="G19" s="24">
        <v>0.03</v>
      </c>
      <c r="H19" s="23">
        <v>0.03</v>
      </c>
      <c r="I19" s="23">
        <f>G19</f>
        <v>0.03</v>
      </c>
    </row>
    <row r="20" spans="1:9" ht="15.75">
      <c r="A20" s="375"/>
      <c r="B20" s="386" t="s">
        <v>502</v>
      </c>
      <c r="C20" s="386"/>
      <c r="D20" s="386"/>
      <c r="E20" s="386"/>
      <c r="F20" s="23">
        <v>6.4999999999999997E-3</v>
      </c>
      <c r="G20" s="24">
        <v>6.4999999999999997E-3</v>
      </c>
      <c r="H20" s="23">
        <v>6.4999999999999997E-3</v>
      </c>
      <c r="I20" s="23">
        <f>G20</f>
        <v>6.4999999999999997E-3</v>
      </c>
    </row>
    <row r="21" spans="1:9" ht="15.75">
      <c r="A21" s="375"/>
      <c r="B21" s="386" t="s">
        <v>503</v>
      </c>
      <c r="C21" s="386"/>
      <c r="D21" s="386"/>
      <c r="E21" s="386"/>
      <c r="F21" s="23">
        <v>0.02</v>
      </c>
      <c r="G21" s="24">
        <v>4.4999999999999998E-2</v>
      </c>
      <c r="H21" s="23">
        <v>0.05</v>
      </c>
      <c r="I21" s="23">
        <f>G21</f>
        <v>4.4999999999999998E-2</v>
      </c>
    </row>
    <row r="22" spans="1:9" ht="15.75">
      <c r="A22" s="375"/>
      <c r="B22" s="387" t="s">
        <v>495</v>
      </c>
      <c r="C22" s="387"/>
      <c r="D22" s="387"/>
      <c r="E22" s="387"/>
      <c r="F22" s="387"/>
      <c r="G22" s="387"/>
      <c r="H22" s="387"/>
      <c r="I22" s="38">
        <f>SUM(I19:I21)</f>
        <v>8.1499999999999989E-2</v>
      </c>
    </row>
    <row r="23" spans="1:9" ht="15.75">
      <c r="A23" s="388" t="s">
        <v>504</v>
      </c>
      <c r="B23" s="388"/>
      <c r="C23" s="388"/>
      <c r="D23" s="388"/>
      <c r="E23" s="388"/>
      <c r="F23" s="388"/>
      <c r="G23" s="388"/>
      <c r="H23" s="388"/>
      <c r="I23" s="39">
        <f>F47</f>
        <v>0.2555</v>
      </c>
    </row>
    <row r="24" spans="1:9" ht="15.75">
      <c r="A24" s="18"/>
      <c r="B24" s="18"/>
      <c r="C24" s="18"/>
      <c r="D24" s="18"/>
      <c r="E24" s="18"/>
      <c r="F24" s="19"/>
      <c r="G24" s="19"/>
      <c r="H24" s="18"/>
      <c r="I24" s="19"/>
    </row>
    <row r="25" spans="1:9" ht="15.75">
      <c r="A25" s="389" t="s">
        <v>505</v>
      </c>
      <c r="B25" s="389"/>
      <c r="C25" s="389"/>
      <c r="D25" s="389"/>
      <c r="E25" s="389"/>
      <c r="F25" s="389" t="s">
        <v>506</v>
      </c>
      <c r="G25" s="389"/>
      <c r="H25" s="389"/>
      <c r="I25" s="389"/>
    </row>
    <row r="26" spans="1:9" ht="15.75">
      <c r="A26" s="25" t="s">
        <v>507</v>
      </c>
      <c r="B26" s="381" t="s">
        <v>508</v>
      </c>
      <c r="C26" s="381"/>
      <c r="D26" s="381"/>
      <c r="E26" s="381"/>
    </row>
    <row r="27" spans="1:9" ht="15.75">
      <c r="A27" s="26" t="s">
        <v>509</v>
      </c>
      <c r="B27" s="382" t="s">
        <v>510</v>
      </c>
      <c r="C27" s="382"/>
      <c r="D27" s="382"/>
      <c r="E27" s="382"/>
    </row>
    <row r="28" spans="1:9" ht="15.75">
      <c r="A28" s="26" t="s">
        <v>511</v>
      </c>
      <c r="B28" s="382" t="s">
        <v>499</v>
      </c>
      <c r="C28" s="382"/>
      <c r="D28" s="382"/>
      <c r="E28" s="382"/>
    </row>
    <row r="29" spans="1:9" ht="15.75">
      <c r="A29" s="26" t="s">
        <v>512</v>
      </c>
      <c r="B29" s="382" t="s">
        <v>513</v>
      </c>
      <c r="C29" s="382"/>
      <c r="D29" s="382"/>
      <c r="E29" s="382"/>
    </row>
    <row r="30" spans="1:9" ht="15.75">
      <c r="A30" s="18"/>
      <c r="B30" s="18"/>
      <c r="C30" s="18"/>
      <c r="D30" s="18"/>
      <c r="E30" s="18"/>
    </row>
    <row r="31" spans="1:9" ht="15.75">
      <c r="A31" s="377" t="s">
        <v>514</v>
      </c>
      <c r="B31" s="27" t="s">
        <v>515</v>
      </c>
      <c r="C31" s="27" t="s">
        <v>516</v>
      </c>
      <c r="D31" s="27" t="s">
        <v>517</v>
      </c>
      <c r="E31" s="380" t="s">
        <v>518</v>
      </c>
      <c r="F31" s="19"/>
      <c r="G31" s="19"/>
      <c r="H31" s="18"/>
      <c r="I31" s="19"/>
    </row>
    <row r="32" spans="1:9" ht="15.75">
      <c r="A32" s="377"/>
      <c r="B32" s="28"/>
      <c r="C32" s="28" t="s">
        <v>519</v>
      </c>
      <c r="D32" s="28"/>
      <c r="E32" s="380"/>
      <c r="F32" s="19"/>
      <c r="G32" s="19"/>
      <c r="H32" s="18"/>
      <c r="I32" s="19"/>
    </row>
    <row r="33" spans="1:9" ht="15.75">
      <c r="A33" s="18"/>
      <c r="B33" s="18"/>
      <c r="C33" s="18"/>
      <c r="D33" s="18"/>
      <c r="E33" s="18"/>
      <c r="F33" s="19"/>
      <c r="G33" s="19"/>
      <c r="H33" s="18"/>
      <c r="I33" s="19"/>
    </row>
    <row r="34" spans="1:9" ht="15.75">
      <c r="A34" s="18"/>
      <c r="B34" s="18"/>
      <c r="C34" s="18"/>
      <c r="D34" s="18"/>
      <c r="E34" s="18"/>
      <c r="F34" s="19"/>
      <c r="G34" s="19"/>
      <c r="H34" s="18"/>
      <c r="I34" s="19"/>
    </row>
    <row r="35" spans="1:9" ht="15.75">
      <c r="A35" s="377" t="s">
        <v>514</v>
      </c>
      <c r="B35" s="29">
        <f>I13</f>
        <v>6.0700000000000004E-2</v>
      </c>
      <c r="C35" s="29">
        <f>I15</f>
        <v>1.23E-2</v>
      </c>
      <c r="D35" s="30">
        <f>I17</f>
        <v>7.3999999999999996E-2</v>
      </c>
      <c r="E35" s="380" t="s">
        <v>518</v>
      </c>
      <c r="F35" s="19"/>
      <c r="G35" s="19"/>
      <c r="H35" s="18"/>
      <c r="I35" s="19"/>
    </row>
    <row r="36" spans="1:9" ht="15.75">
      <c r="A36" s="377"/>
      <c r="B36" s="28"/>
      <c r="C36" s="31">
        <f>I22</f>
        <v>8.1499999999999989E-2</v>
      </c>
      <c r="D36" s="28"/>
      <c r="E36" s="380"/>
      <c r="F36" s="19"/>
      <c r="G36" s="19"/>
      <c r="H36" s="18"/>
      <c r="I36" s="19"/>
    </row>
    <row r="37" spans="1:9" ht="15.75">
      <c r="A37" s="18"/>
      <c r="B37" s="18"/>
      <c r="C37" s="18"/>
      <c r="D37" s="18"/>
      <c r="E37" s="18"/>
      <c r="F37" s="19"/>
      <c r="G37" s="19"/>
      <c r="H37" s="18"/>
      <c r="I37" s="19"/>
    </row>
    <row r="38" spans="1:9" ht="15.75">
      <c r="A38" s="18"/>
      <c r="B38" s="18"/>
      <c r="C38" s="18"/>
      <c r="D38" s="18"/>
      <c r="E38" s="18"/>
      <c r="F38" s="19"/>
      <c r="G38" s="19"/>
      <c r="H38" s="18"/>
      <c r="I38" s="19"/>
    </row>
    <row r="39" spans="1:9" ht="15.75">
      <c r="A39" s="377" t="s">
        <v>514</v>
      </c>
      <c r="B39" s="32">
        <f>I13+1</f>
        <v>1.0607</v>
      </c>
      <c r="C39" s="32">
        <f>I15+1</f>
        <v>1.0123</v>
      </c>
      <c r="D39" s="33">
        <f>I17+1</f>
        <v>1.0740000000000001</v>
      </c>
      <c r="E39" s="380" t="s">
        <v>518</v>
      </c>
      <c r="F39" s="19"/>
      <c r="G39" s="19"/>
      <c r="H39" s="18"/>
      <c r="I39" s="19"/>
    </row>
    <row r="40" spans="1:9" ht="15.75">
      <c r="A40" s="377"/>
      <c r="B40" s="28"/>
      <c r="C40" s="34">
        <f>1-I22</f>
        <v>0.91849999999999998</v>
      </c>
      <c r="D40" s="28"/>
      <c r="E40" s="380"/>
      <c r="F40" s="19"/>
      <c r="G40" s="19"/>
      <c r="H40" s="18"/>
      <c r="I40" s="19"/>
    </row>
    <row r="41" spans="1:9" ht="15.75">
      <c r="A41" s="18"/>
      <c r="B41" s="18"/>
      <c r="C41" s="18"/>
      <c r="D41" s="18"/>
      <c r="E41" s="18"/>
      <c r="F41" s="19"/>
      <c r="G41" s="19"/>
      <c r="H41" s="18"/>
      <c r="I41" s="19"/>
    </row>
    <row r="42" spans="1:9" ht="15.75">
      <c r="A42" s="18"/>
      <c r="B42" s="18"/>
      <c r="C42" s="18"/>
      <c r="D42" s="18"/>
      <c r="E42" s="18"/>
      <c r="F42" s="19"/>
      <c r="G42" s="19"/>
      <c r="H42" s="18"/>
      <c r="I42" s="19"/>
    </row>
    <row r="43" spans="1:9" ht="15.75">
      <c r="A43" s="377" t="s">
        <v>514</v>
      </c>
      <c r="B43" s="33">
        <f>B39*C39*D39</f>
        <v>1.15320385914</v>
      </c>
      <c r="C43" s="379" t="s">
        <v>520</v>
      </c>
      <c r="D43" s="18"/>
      <c r="E43" s="18"/>
      <c r="F43" s="19"/>
      <c r="G43" s="19"/>
      <c r="H43" s="18"/>
      <c r="I43" s="19"/>
    </row>
    <row r="44" spans="1:9" ht="15.75">
      <c r="A44" s="377"/>
      <c r="B44" s="34">
        <f>C40</f>
        <v>0.91849999999999998</v>
      </c>
      <c r="C44" s="379"/>
      <c r="D44" s="18"/>
      <c r="E44" s="18"/>
      <c r="F44" s="19"/>
      <c r="G44" s="19"/>
      <c r="H44" s="18"/>
      <c r="I44" s="19"/>
    </row>
    <row r="45" spans="1:9" ht="15.75">
      <c r="A45" s="18"/>
      <c r="B45" s="18"/>
      <c r="C45" s="18"/>
      <c r="D45" s="18"/>
      <c r="E45" s="18"/>
      <c r="F45" s="19"/>
      <c r="G45" s="19"/>
      <c r="H45" s="18"/>
      <c r="I45" s="19"/>
    </row>
    <row r="46" spans="1:9" ht="15.75">
      <c r="A46" s="18"/>
      <c r="B46" s="18"/>
      <c r="C46" s="18"/>
      <c r="D46" s="18"/>
      <c r="E46" s="18"/>
      <c r="F46" s="19"/>
      <c r="G46" s="19"/>
      <c r="H46" s="18"/>
      <c r="I46" s="19"/>
    </row>
    <row r="47" spans="1:9" ht="15.75">
      <c r="A47" s="377" t="s">
        <v>514</v>
      </c>
      <c r="B47" s="378">
        <f>B43/B44</f>
        <v>1.2555295145781165</v>
      </c>
      <c r="C47" s="379" t="s">
        <v>520</v>
      </c>
      <c r="D47" s="18"/>
      <c r="E47" s="384" t="s">
        <v>514</v>
      </c>
      <c r="F47" s="385">
        <f>ROUND(B47-1,4)</f>
        <v>0.2555</v>
      </c>
      <c r="G47" s="19"/>
      <c r="H47" s="18"/>
      <c r="I47" s="19"/>
    </row>
    <row r="48" spans="1:9" ht="15.75">
      <c r="A48" s="377"/>
      <c r="B48" s="378"/>
      <c r="C48" s="379"/>
      <c r="D48" s="18"/>
      <c r="E48" s="384"/>
      <c r="F48" s="385"/>
      <c r="G48" s="19"/>
      <c r="H48" s="18"/>
      <c r="I48" s="19"/>
    </row>
    <row r="49" spans="1:9" ht="15.75">
      <c r="A49" s="18"/>
      <c r="B49" s="18"/>
      <c r="C49" s="18"/>
      <c r="D49" s="18"/>
      <c r="E49" s="18"/>
      <c r="F49" s="19"/>
      <c r="G49" s="19"/>
      <c r="H49" s="18"/>
      <c r="I49" s="19"/>
    </row>
    <row r="50" spans="1:9" ht="15.75">
      <c r="A50" s="383" t="s">
        <v>521</v>
      </c>
      <c r="B50" s="383"/>
      <c r="C50" s="383"/>
      <c r="D50" s="383"/>
      <c r="E50" s="383"/>
      <c r="F50" s="383"/>
      <c r="G50" s="383"/>
      <c r="H50" s="383"/>
      <c r="I50" s="383"/>
    </row>
    <row r="51" spans="1:9" ht="15.75">
      <c r="A51" s="376" t="s">
        <v>522</v>
      </c>
      <c r="B51" s="376"/>
      <c r="C51" s="376"/>
      <c r="D51" s="376"/>
      <c r="E51" s="376"/>
      <c r="F51" s="376"/>
      <c r="G51" s="376"/>
      <c r="H51" s="376"/>
      <c r="I51" s="376"/>
    </row>
    <row r="52" spans="1:9" ht="15.75" customHeight="1">
      <c r="A52" s="374" t="s">
        <v>523</v>
      </c>
      <c r="B52" s="374"/>
      <c r="C52" s="374"/>
      <c r="D52" s="374"/>
      <c r="E52" s="374"/>
      <c r="F52" s="374"/>
      <c r="G52" s="374"/>
      <c r="H52" s="374"/>
      <c r="I52" s="374"/>
    </row>
    <row r="53" spans="1:9">
      <c r="A53" s="374"/>
      <c r="B53" s="374"/>
      <c r="C53" s="374"/>
      <c r="D53" s="374"/>
      <c r="E53" s="374"/>
      <c r="F53" s="374"/>
      <c r="G53" s="374"/>
      <c r="H53" s="374"/>
      <c r="I53" s="374"/>
    </row>
    <row r="56" spans="1:9">
      <c r="F56" s="372"/>
    </row>
    <row r="57" spans="1:9">
      <c r="F57" s="372"/>
    </row>
  </sheetData>
  <mergeCells count="47">
    <mergeCell ref="A1:I1"/>
    <mergeCell ref="A3:I3"/>
    <mergeCell ref="A6:I6"/>
    <mergeCell ref="F8:H8"/>
    <mergeCell ref="B10:E10"/>
    <mergeCell ref="B11:E11"/>
    <mergeCell ref="B12:E12"/>
    <mergeCell ref="B13:H13"/>
    <mergeCell ref="B14:E14"/>
    <mergeCell ref="B15:H15"/>
    <mergeCell ref="B16:E16"/>
    <mergeCell ref="B17:H17"/>
    <mergeCell ref="B18:H18"/>
    <mergeCell ref="B19:E19"/>
    <mergeCell ref="B20:E20"/>
    <mergeCell ref="A50:I50"/>
    <mergeCell ref="E47:E48"/>
    <mergeCell ref="F47:F48"/>
    <mergeCell ref="B21:E21"/>
    <mergeCell ref="B22:H22"/>
    <mergeCell ref="A23:H23"/>
    <mergeCell ref="A25:E25"/>
    <mergeCell ref="F25:I25"/>
    <mergeCell ref="C47:C48"/>
    <mergeCell ref="E31:E32"/>
    <mergeCell ref="E35:E36"/>
    <mergeCell ref="E39:E40"/>
    <mergeCell ref="B26:E26"/>
    <mergeCell ref="B27:E27"/>
    <mergeCell ref="B28:E28"/>
    <mergeCell ref="B29:E29"/>
    <mergeCell ref="F56:F57"/>
    <mergeCell ref="I8:I9"/>
    <mergeCell ref="A52:I53"/>
    <mergeCell ref="A8:E9"/>
    <mergeCell ref="A51:I51"/>
    <mergeCell ref="A10:A13"/>
    <mergeCell ref="A14:A15"/>
    <mergeCell ref="A16:A17"/>
    <mergeCell ref="A18:A22"/>
    <mergeCell ref="A31:A32"/>
    <mergeCell ref="A35:A36"/>
    <mergeCell ref="A39:A40"/>
    <mergeCell ref="A43:A44"/>
    <mergeCell ref="A47:A48"/>
    <mergeCell ref="B47:B48"/>
    <mergeCell ref="C43:C44"/>
  </mergeCells>
  <pageMargins left="0.51180555555555596" right="0.51180555555555596" top="1.4479166666666701" bottom="0.78680555555555598" header="0.31388888888888899" footer="0.31388888888888899"/>
  <pageSetup paperSize="9" scale="79" orientation="portrait" r:id="rId1"/>
  <headerFooter>
    <oddHeader>&amp;C&amp;G
DEFENSORIA PÚBLICA DO ESTADO DE RORAIMA
“Amazônia: Patrimônio dos brasileiros”
____________________________________________________________________________________________________</oddHeader>
  </headerFooter>
  <colBreaks count="1" manualBreakCount="1">
    <brk id="9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2"/>
  <sheetViews>
    <sheetView view="pageBreakPreview" topLeftCell="A10" zoomScale="85" zoomScaleNormal="100" zoomScaleSheetLayoutView="85" workbookViewId="0">
      <selection activeCell="F46" sqref="F46:F47"/>
    </sheetView>
  </sheetViews>
  <sheetFormatPr defaultColWidth="9" defaultRowHeight="15"/>
  <cols>
    <col min="1" max="1" width="9" style="11"/>
    <col min="2" max="3" width="17.5703125" style="11" customWidth="1"/>
    <col min="4" max="4" width="15.7109375" style="11" customWidth="1"/>
    <col min="5" max="5" width="6.5703125" style="11" customWidth="1"/>
    <col min="6" max="6" width="10.85546875" style="11" customWidth="1"/>
    <col min="7" max="7" width="9.28515625" style="11" customWidth="1"/>
    <col min="8" max="8" width="10.85546875" style="11" customWidth="1"/>
    <col min="9" max="9" width="21.42578125" style="11" customWidth="1"/>
    <col min="12" max="12" width="12.85546875"/>
  </cols>
  <sheetData>
    <row r="1" spans="1:9" ht="16.5">
      <c r="A1" s="392" t="s">
        <v>524</v>
      </c>
      <c r="B1" s="393"/>
      <c r="C1" s="393"/>
      <c r="D1" s="393"/>
      <c r="E1" s="393"/>
      <c r="F1" s="393"/>
      <c r="G1" s="393"/>
      <c r="H1" s="393"/>
      <c r="I1" s="394"/>
    </row>
    <row r="2" spans="1:9" ht="16.5">
      <c r="A2" s="12"/>
      <c r="B2" s="13"/>
      <c r="C2" s="13"/>
      <c r="D2" s="13"/>
      <c r="E2" s="13"/>
      <c r="F2" s="13"/>
      <c r="G2" s="13"/>
      <c r="H2" s="13"/>
      <c r="I2" s="35"/>
    </row>
    <row r="3" spans="1:9" ht="30" customHeight="1">
      <c r="A3" s="395" t="str">
        <f>'PB III - Planilha Orçamentaria'!A4:G4</f>
        <v xml:space="preserve">OBRA: REFORMA DO PRÉDIO DA DEFENSORIA PÚBLICA DO ESTADO DE RORAIMA NO MUNICÍPIO DE CARACARAÍ  - DPE/RR </v>
      </c>
      <c r="B3" s="396"/>
      <c r="C3" s="396"/>
      <c r="D3" s="396"/>
      <c r="E3" s="396"/>
      <c r="F3" s="396"/>
      <c r="G3" s="396"/>
      <c r="H3" s="396"/>
      <c r="I3" s="397"/>
    </row>
    <row r="4" spans="1:9">
      <c r="A4" s="14" t="str">
        <f>'PB III - Planilha Orçamentaria'!A6:G6</f>
        <v>ENDEREÇO:Av Dr. Zany, Bairro: Santa Luzia</v>
      </c>
      <c r="B4" s="15"/>
      <c r="C4" s="15"/>
      <c r="D4" s="15"/>
      <c r="E4" s="15"/>
      <c r="F4" s="15"/>
      <c r="G4" s="15"/>
      <c r="H4" s="15"/>
      <c r="I4" s="36"/>
    </row>
    <row r="5" spans="1:9" ht="15.75">
      <c r="A5" s="16"/>
      <c r="B5" s="17"/>
      <c r="C5" s="17"/>
      <c r="D5" s="17"/>
      <c r="E5" s="17"/>
      <c r="F5" s="17"/>
      <c r="G5" s="17"/>
      <c r="H5" s="17"/>
      <c r="I5" s="36"/>
    </row>
    <row r="6" spans="1:9" ht="15.75">
      <c r="A6" s="398" t="s">
        <v>525</v>
      </c>
      <c r="B6" s="398"/>
      <c r="C6" s="398"/>
      <c r="D6" s="398"/>
      <c r="E6" s="398"/>
      <c r="F6" s="398"/>
      <c r="G6" s="398"/>
      <c r="H6" s="398"/>
      <c r="I6" s="398"/>
    </row>
    <row r="7" spans="1:9" ht="15.75">
      <c r="A7" s="18"/>
      <c r="B7" s="18"/>
      <c r="C7" s="18"/>
      <c r="D7" s="18"/>
      <c r="E7" s="18"/>
      <c r="F7" s="19"/>
      <c r="G7" s="19"/>
      <c r="H7" s="18"/>
      <c r="I7" s="19"/>
    </row>
    <row r="8" spans="1:9" ht="15.75">
      <c r="A8" s="375" t="s">
        <v>485</v>
      </c>
      <c r="B8" s="375"/>
      <c r="C8" s="375"/>
      <c r="D8" s="375"/>
      <c r="E8" s="375"/>
      <c r="F8" s="375" t="s">
        <v>486</v>
      </c>
      <c r="G8" s="375"/>
      <c r="H8" s="375"/>
      <c r="I8" s="373" t="s">
        <v>487</v>
      </c>
    </row>
    <row r="9" spans="1:9" ht="15.75">
      <c r="A9" s="375"/>
      <c r="B9" s="375"/>
      <c r="C9" s="375"/>
      <c r="D9" s="375"/>
      <c r="E9" s="375"/>
      <c r="F9" s="20" t="s">
        <v>488</v>
      </c>
      <c r="G9" s="20" t="s">
        <v>489</v>
      </c>
      <c r="H9" s="20" t="s">
        <v>490</v>
      </c>
      <c r="I9" s="373"/>
    </row>
    <row r="10" spans="1:9" ht="15.75">
      <c r="A10" s="375" t="s">
        <v>491</v>
      </c>
      <c r="B10" s="390" t="s">
        <v>492</v>
      </c>
      <c r="C10" s="390"/>
      <c r="D10" s="390"/>
      <c r="E10" s="390"/>
      <c r="F10" s="21">
        <v>1.4999999999999999E-2</v>
      </c>
      <c r="G10" s="22">
        <v>3.4500000000000003E-2</v>
      </c>
      <c r="H10" s="21">
        <v>4.4900000000000002E-2</v>
      </c>
      <c r="I10" s="21">
        <f>G10</f>
        <v>3.4500000000000003E-2</v>
      </c>
    </row>
    <row r="11" spans="1:9" ht="15.75">
      <c r="A11" s="375"/>
      <c r="B11" s="386" t="s">
        <v>493</v>
      </c>
      <c r="C11" s="386"/>
      <c r="D11" s="386"/>
      <c r="E11" s="386"/>
      <c r="F11" s="21">
        <v>3.0000000000000001E-3</v>
      </c>
      <c r="G11" s="22">
        <v>4.7999999999999996E-3</v>
      </c>
      <c r="H11" s="21">
        <v>8.2000000000000007E-3</v>
      </c>
      <c r="I11" s="21">
        <f>G11</f>
        <v>4.7999999999999996E-3</v>
      </c>
    </row>
    <row r="12" spans="1:9" ht="15.75">
      <c r="A12" s="375"/>
      <c r="B12" s="386" t="s">
        <v>494</v>
      </c>
      <c r="C12" s="386"/>
      <c r="D12" s="386"/>
      <c r="E12" s="386"/>
      <c r="F12" s="21">
        <v>5.5999999999999999E-3</v>
      </c>
      <c r="G12" s="22">
        <v>8.5000000000000006E-3</v>
      </c>
      <c r="H12" s="21">
        <v>8.8999999999999999E-3</v>
      </c>
      <c r="I12" s="21">
        <f>G12</f>
        <v>8.5000000000000006E-3</v>
      </c>
    </row>
    <row r="13" spans="1:9" ht="15.75">
      <c r="A13" s="375"/>
      <c r="B13" s="387" t="s">
        <v>495</v>
      </c>
      <c r="C13" s="387"/>
      <c r="D13" s="387"/>
      <c r="E13" s="387"/>
      <c r="F13" s="387"/>
      <c r="G13" s="387"/>
      <c r="H13" s="387"/>
      <c r="I13" s="24">
        <f>SUM(I10:I12)</f>
        <v>4.7800000000000002E-2</v>
      </c>
    </row>
    <row r="14" spans="1:9" ht="15.75">
      <c r="A14" s="375" t="s">
        <v>496</v>
      </c>
      <c r="B14" s="390" t="s">
        <v>497</v>
      </c>
      <c r="C14" s="390"/>
      <c r="D14" s="390"/>
      <c r="E14" s="390"/>
      <c r="F14" s="21">
        <v>8.5000000000000006E-3</v>
      </c>
      <c r="G14" s="22">
        <v>8.5000000000000006E-3</v>
      </c>
      <c r="H14" s="21">
        <v>1.11E-2</v>
      </c>
      <c r="I14" s="23">
        <f>G14</f>
        <v>8.5000000000000006E-3</v>
      </c>
    </row>
    <row r="15" spans="1:9" ht="15.75">
      <c r="A15" s="375"/>
      <c r="B15" s="387" t="s">
        <v>495</v>
      </c>
      <c r="C15" s="387"/>
      <c r="D15" s="387"/>
      <c r="E15" s="387"/>
      <c r="F15" s="387"/>
      <c r="G15" s="387"/>
      <c r="H15" s="387"/>
      <c r="I15" s="24">
        <f>I14</f>
        <v>8.5000000000000006E-3</v>
      </c>
    </row>
    <row r="16" spans="1:9" ht="15.75">
      <c r="A16" s="375" t="s">
        <v>498</v>
      </c>
      <c r="B16" s="390" t="s">
        <v>499</v>
      </c>
      <c r="C16" s="390"/>
      <c r="D16" s="390"/>
      <c r="E16" s="390"/>
      <c r="F16" s="21">
        <v>3.5000000000000003E-2</v>
      </c>
      <c r="G16" s="22">
        <v>5.11E-2</v>
      </c>
      <c r="H16" s="21">
        <v>6.2199999999999998E-2</v>
      </c>
      <c r="I16" s="23">
        <f>G16</f>
        <v>5.11E-2</v>
      </c>
    </row>
    <row r="17" spans="1:9" ht="15.75">
      <c r="A17" s="375"/>
      <c r="B17" s="387" t="s">
        <v>495</v>
      </c>
      <c r="C17" s="387"/>
      <c r="D17" s="387"/>
      <c r="E17" s="387"/>
      <c r="F17" s="387"/>
      <c r="G17" s="387"/>
      <c r="H17" s="387"/>
      <c r="I17" s="24">
        <f>I16</f>
        <v>5.11E-2</v>
      </c>
    </row>
    <row r="18" spans="1:9" ht="15.75">
      <c r="A18" s="375" t="s">
        <v>13</v>
      </c>
      <c r="B18" s="391" t="s">
        <v>500</v>
      </c>
      <c r="C18" s="391"/>
      <c r="D18" s="391"/>
      <c r="E18" s="391"/>
      <c r="F18" s="391"/>
      <c r="G18" s="391"/>
      <c r="H18" s="391"/>
      <c r="I18" s="37"/>
    </row>
    <row r="19" spans="1:9" ht="15.75">
      <c r="A19" s="375"/>
      <c r="B19" s="386" t="s">
        <v>501</v>
      </c>
      <c r="C19" s="386"/>
      <c r="D19" s="386"/>
      <c r="E19" s="386"/>
      <c r="F19" s="23">
        <v>0.03</v>
      </c>
      <c r="G19" s="24">
        <v>0.03</v>
      </c>
      <c r="H19" s="23">
        <v>0.03</v>
      </c>
      <c r="I19" s="23">
        <f>G19</f>
        <v>0.03</v>
      </c>
    </row>
    <row r="20" spans="1:9" ht="15.75">
      <c r="A20" s="375"/>
      <c r="B20" s="386" t="s">
        <v>502</v>
      </c>
      <c r="C20" s="386"/>
      <c r="D20" s="386"/>
      <c r="E20" s="386"/>
      <c r="F20" s="23">
        <v>6.4999999999999997E-3</v>
      </c>
      <c r="G20" s="24">
        <v>6.4999999999999997E-3</v>
      </c>
      <c r="H20" s="23">
        <v>6.4999999999999997E-3</v>
      </c>
      <c r="I20" s="23">
        <f>G20</f>
        <v>6.4999999999999997E-3</v>
      </c>
    </row>
    <row r="21" spans="1:9" ht="15.75">
      <c r="A21" s="375"/>
      <c r="B21" s="387" t="s">
        <v>495</v>
      </c>
      <c r="C21" s="387"/>
      <c r="D21" s="387"/>
      <c r="E21" s="387"/>
      <c r="F21" s="387"/>
      <c r="G21" s="387"/>
      <c r="H21" s="387"/>
      <c r="I21" s="38">
        <f>SUM(I19:I20)</f>
        <v>3.6499999999999998E-2</v>
      </c>
    </row>
    <row r="22" spans="1:9" ht="15.75">
      <c r="A22" s="388" t="s">
        <v>504</v>
      </c>
      <c r="B22" s="388"/>
      <c r="C22" s="388"/>
      <c r="D22" s="388"/>
      <c r="E22" s="388"/>
      <c r="F22" s="388"/>
      <c r="G22" s="388"/>
      <c r="H22" s="388"/>
      <c r="I22" s="39">
        <f>F46</f>
        <v>0.15279999999999999</v>
      </c>
    </row>
    <row r="23" spans="1:9" ht="15.75">
      <c r="A23" s="18"/>
      <c r="B23" s="18"/>
      <c r="C23" s="18"/>
      <c r="D23" s="18"/>
      <c r="E23" s="18"/>
      <c r="F23" s="19"/>
      <c r="G23" s="19"/>
      <c r="H23" s="18"/>
      <c r="I23" s="19"/>
    </row>
    <row r="24" spans="1:9" ht="15.75">
      <c r="A24" s="389" t="s">
        <v>505</v>
      </c>
      <c r="B24" s="389"/>
      <c r="C24" s="389"/>
      <c r="D24" s="389"/>
      <c r="E24" s="389"/>
      <c r="F24" s="389" t="s">
        <v>506</v>
      </c>
      <c r="G24" s="389"/>
      <c r="H24" s="389"/>
      <c r="I24" s="389"/>
    </row>
    <row r="25" spans="1:9" ht="15.75">
      <c r="A25" s="25" t="s">
        <v>507</v>
      </c>
      <c r="B25" s="381" t="s">
        <v>508</v>
      </c>
      <c r="C25" s="381"/>
      <c r="D25" s="381"/>
      <c r="E25" s="381"/>
    </row>
    <row r="26" spans="1:9" ht="15.75">
      <c r="A26" s="26" t="s">
        <v>509</v>
      </c>
      <c r="B26" s="382" t="s">
        <v>510</v>
      </c>
      <c r="C26" s="382"/>
      <c r="D26" s="382"/>
      <c r="E26" s="382"/>
    </row>
    <row r="27" spans="1:9" ht="15.75">
      <c r="A27" s="26" t="s">
        <v>511</v>
      </c>
      <c r="B27" s="382" t="s">
        <v>499</v>
      </c>
      <c r="C27" s="382"/>
      <c r="D27" s="382"/>
      <c r="E27" s="382"/>
    </row>
    <row r="28" spans="1:9" ht="15.75">
      <c r="A28" s="26" t="s">
        <v>512</v>
      </c>
      <c r="B28" s="382" t="s">
        <v>513</v>
      </c>
      <c r="C28" s="382"/>
      <c r="D28" s="382"/>
      <c r="E28" s="382"/>
    </row>
    <row r="29" spans="1:9" ht="15.75">
      <c r="A29" s="18"/>
      <c r="B29" s="18"/>
      <c r="C29" s="18"/>
      <c r="D29" s="18"/>
      <c r="E29" s="18"/>
    </row>
    <row r="30" spans="1:9" ht="15.75">
      <c r="A30" s="377" t="s">
        <v>514</v>
      </c>
      <c r="B30" s="27" t="s">
        <v>515</v>
      </c>
      <c r="C30" s="27" t="s">
        <v>516</v>
      </c>
      <c r="D30" s="27" t="s">
        <v>517</v>
      </c>
      <c r="E30" s="380" t="s">
        <v>518</v>
      </c>
      <c r="F30" s="19"/>
      <c r="G30" s="19"/>
      <c r="H30" s="18"/>
      <c r="I30" s="19"/>
    </row>
    <row r="31" spans="1:9" ht="15.75">
      <c r="A31" s="377"/>
      <c r="B31" s="28"/>
      <c r="C31" s="28" t="s">
        <v>519</v>
      </c>
      <c r="D31" s="28"/>
      <c r="E31" s="380"/>
      <c r="F31" s="19"/>
      <c r="G31" s="19"/>
      <c r="H31" s="18"/>
      <c r="I31" s="19"/>
    </row>
    <row r="32" spans="1:9" ht="15.75">
      <c r="A32" s="18"/>
      <c r="B32" s="18"/>
      <c r="C32" s="18"/>
      <c r="D32" s="18"/>
      <c r="E32" s="18"/>
      <c r="F32" s="19"/>
      <c r="G32" s="19"/>
      <c r="H32" s="18"/>
      <c r="I32" s="19"/>
    </row>
    <row r="33" spans="1:9" ht="15.75">
      <c r="A33" s="18"/>
      <c r="B33" s="18"/>
      <c r="C33" s="18"/>
      <c r="D33" s="18"/>
      <c r="E33" s="18"/>
      <c r="F33" s="19"/>
      <c r="G33" s="19"/>
      <c r="H33" s="18"/>
      <c r="I33" s="19"/>
    </row>
    <row r="34" spans="1:9" ht="15.75">
      <c r="A34" s="377" t="s">
        <v>514</v>
      </c>
      <c r="B34" s="29">
        <f>I13</f>
        <v>4.7800000000000002E-2</v>
      </c>
      <c r="C34" s="29">
        <f>I15</f>
        <v>8.5000000000000006E-3</v>
      </c>
      <c r="D34" s="30">
        <f>I17</f>
        <v>5.11E-2</v>
      </c>
      <c r="E34" s="380" t="s">
        <v>518</v>
      </c>
      <c r="F34" s="19"/>
      <c r="G34" s="19"/>
      <c r="H34" s="18"/>
      <c r="I34" s="19"/>
    </row>
    <row r="35" spans="1:9" ht="15.75">
      <c r="A35" s="377"/>
      <c r="B35" s="28"/>
      <c r="C35" s="31">
        <f>I21</f>
        <v>3.6499999999999998E-2</v>
      </c>
      <c r="D35" s="28"/>
      <c r="E35" s="380"/>
      <c r="F35" s="19"/>
      <c r="G35" s="19"/>
      <c r="H35" s="18"/>
      <c r="I35" s="19"/>
    </row>
    <row r="36" spans="1:9" ht="15.75">
      <c r="A36" s="18"/>
      <c r="B36" s="18"/>
      <c r="C36" s="18"/>
      <c r="D36" s="18"/>
      <c r="E36" s="18"/>
      <c r="F36" s="19"/>
      <c r="G36" s="19"/>
      <c r="H36" s="18"/>
      <c r="I36" s="19"/>
    </row>
    <row r="37" spans="1:9" ht="15.75">
      <c r="A37" s="18"/>
      <c r="B37" s="18"/>
      <c r="C37" s="18"/>
      <c r="D37" s="18"/>
      <c r="E37" s="18"/>
      <c r="F37" s="19"/>
      <c r="G37" s="19"/>
      <c r="H37" s="18"/>
      <c r="I37" s="19"/>
    </row>
    <row r="38" spans="1:9" ht="15.75">
      <c r="A38" s="377" t="s">
        <v>514</v>
      </c>
      <c r="B38" s="32">
        <f>I13+1</f>
        <v>1.0478000000000001</v>
      </c>
      <c r="C38" s="32">
        <f>I15+1</f>
        <v>1.0085</v>
      </c>
      <c r="D38" s="33">
        <f>I17+1</f>
        <v>1.0510999999999999</v>
      </c>
      <c r="E38" s="380" t="s">
        <v>518</v>
      </c>
      <c r="F38" s="19"/>
      <c r="G38" s="19"/>
      <c r="H38" s="18"/>
      <c r="I38" s="19"/>
    </row>
    <row r="39" spans="1:9" ht="15.75">
      <c r="A39" s="377"/>
      <c r="B39" s="28"/>
      <c r="C39" s="34">
        <f>1-I21</f>
        <v>0.96350000000000002</v>
      </c>
      <c r="D39" s="28"/>
      <c r="E39" s="380"/>
      <c r="F39" s="19"/>
      <c r="G39" s="19"/>
      <c r="H39" s="18"/>
      <c r="I39" s="19"/>
    </row>
    <row r="40" spans="1:9" ht="15.75">
      <c r="A40" s="18"/>
      <c r="B40" s="18"/>
      <c r="C40" s="18"/>
      <c r="D40" s="18"/>
      <c r="E40" s="18"/>
      <c r="F40" s="19"/>
      <c r="G40" s="19"/>
      <c r="H40" s="18"/>
      <c r="I40" s="19"/>
    </row>
    <row r="41" spans="1:9" ht="15.75">
      <c r="A41" s="18"/>
      <c r="B41" s="18"/>
      <c r="C41" s="18"/>
      <c r="D41" s="18"/>
      <c r="E41" s="18"/>
      <c r="F41" s="19"/>
      <c r="G41" s="19"/>
      <c r="H41" s="18"/>
      <c r="I41" s="19"/>
    </row>
    <row r="42" spans="1:9" ht="15.75">
      <c r="A42" s="377" t="s">
        <v>514</v>
      </c>
      <c r="B42" s="33">
        <f>B38*C38*D38</f>
        <v>1.1107039919299999</v>
      </c>
      <c r="C42" s="379" t="s">
        <v>520</v>
      </c>
      <c r="D42" s="18"/>
      <c r="E42" s="18"/>
      <c r="F42" s="19"/>
      <c r="G42" s="19"/>
      <c r="H42" s="18"/>
      <c r="I42" s="19"/>
    </row>
    <row r="43" spans="1:9" ht="15.75">
      <c r="A43" s="377"/>
      <c r="B43" s="34">
        <f>C39</f>
        <v>0.96350000000000002</v>
      </c>
      <c r="C43" s="379"/>
      <c r="D43" s="18"/>
      <c r="E43" s="18"/>
      <c r="F43" s="19"/>
      <c r="G43" s="19"/>
      <c r="H43" s="18"/>
      <c r="I43" s="19"/>
    </row>
    <row r="44" spans="1:9" ht="15.75">
      <c r="A44" s="18"/>
      <c r="B44" s="18"/>
      <c r="C44" s="18"/>
      <c r="D44" s="18"/>
      <c r="E44" s="18"/>
      <c r="F44" s="19"/>
      <c r="G44" s="19"/>
      <c r="H44" s="18"/>
      <c r="I44" s="19"/>
    </row>
    <row r="45" spans="1:9" ht="15.75">
      <c r="A45" s="18"/>
      <c r="B45" s="18"/>
      <c r="C45" s="18"/>
      <c r="D45" s="18"/>
      <c r="E45" s="18"/>
      <c r="F45" s="19"/>
      <c r="G45" s="19"/>
      <c r="H45" s="18"/>
      <c r="I45" s="19"/>
    </row>
    <row r="46" spans="1:9" ht="15.75">
      <c r="A46" s="377" t="s">
        <v>514</v>
      </c>
      <c r="B46" s="378">
        <f>B42/B43</f>
        <v>1.1527804794291643</v>
      </c>
      <c r="C46" s="379" t="s">
        <v>520</v>
      </c>
      <c r="D46" s="18"/>
      <c r="E46" s="384" t="s">
        <v>514</v>
      </c>
      <c r="F46" s="385">
        <f>ROUND(B46-1,4)</f>
        <v>0.15279999999999999</v>
      </c>
      <c r="G46" s="19"/>
      <c r="H46" s="18"/>
      <c r="I46" s="19"/>
    </row>
    <row r="47" spans="1:9" ht="15.75">
      <c r="A47" s="377"/>
      <c r="B47" s="378"/>
      <c r="C47" s="379"/>
      <c r="D47" s="18"/>
      <c r="E47" s="384"/>
      <c r="F47" s="385"/>
      <c r="G47" s="19"/>
      <c r="H47" s="18"/>
      <c r="I47" s="19"/>
    </row>
    <row r="48" spans="1:9" ht="15.75">
      <c r="A48" s="18"/>
      <c r="B48" s="18"/>
      <c r="C48" s="18"/>
      <c r="D48" s="18"/>
      <c r="E48" s="18"/>
      <c r="F48" s="19"/>
      <c r="G48" s="19"/>
      <c r="H48" s="18"/>
      <c r="I48" s="19"/>
    </row>
    <row r="49" spans="1:9" ht="15.75">
      <c r="A49" s="383" t="s">
        <v>521</v>
      </c>
      <c r="B49" s="383"/>
      <c r="C49" s="383"/>
      <c r="D49" s="383"/>
      <c r="E49" s="383"/>
      <c r="F49" s="383"/>
      <c r="G49" s="383"/>
      <c r="H49" s="383"/>
      <c r="I49" s="383"/>
    </row>
    <row r="50" spans="1:9" ht="15.75">
      <c r="A50" s="376" t="s">
        <v>522</v>
      </c>
      <c r="B50" s="376"/>
      <c r="C50" s="376"/>
      <c r="D50" s="376"/>
      <c r="E50" s="376"/>
      <c r="F50" s="376"/>
      <c r="G50" s="376"/>
      <c r="H50" s="376"/>
      <c r="I50" s="376"/>
    </row>
    <row r="51" spans="1:9" ht="15.75" customHeight="1">
      <c r="A51" s="374" t="s">
        <v>523</v>
      </c>
      <c r="B51" s="374"/>
      <c r="C51" s="374"/>
      <c r="D51" s="374"/>
      <c r="E51" s="374"/>
      <c r="F51" s="374"/>
      <c r="G51" s="374"/>
      <c r="H51" s="374"/>
      <c r="I51" s="374"/>
    </row>
    <row r="52" spans="1:9">
      <c r="A52" s="374"/>
      <c r="B52" s="374"/>
      <c r="C52" s="374"/>
      <c r="D52" s="374"/>
      <c r="E52" s="374"/>
      <c r="F52" s="374"/>
      <c r="G52" s="374"/>
      <c r="H52" s="374"/>
      <c r="I52" s="374"/>
    </row>
  </sheetData>
  <mergeCells count="45">
    <mergeCell ref="A1:I1"/>
    <mergeCell ref="A3:I3"/>
    <mergeCell ref="A6:I6"/>
    <mergeCell ref="F8:H8"/>
    <mergeCell ref="B10:E10"/>
    <mergeCell ref="A10:A13"/>
    <mergeCell ref="I8:I9"/>
    <mergeCell ref="B11:E11"/>
    <mergeCell ref="B12:E12"/>
    <mergeCell ref="B13:H13"/>
    <mergeCell ref="B14:E14"/>
    <mergeCell ref="B15:H15"/>
    <mergeCell ref="B16:E16"/>
    <mergeCell ref="B17:H17"/>
    <mergeCell ref="B18:H18"/>
    <mergeCell ref="B19:E19"/>
    <mergeCell ref="B20:E20"/>
    <mergeCell ref="F46:F47"/>
    <mergeCell ref="B21:H21"/>
    <mergeCell ref="A22:H22"/>
    <mergeCell ref="A24:E24"/>
    <mergeCell ref="F24:I24"/>
    <mergeCell ref="B25:E25"/>
    <mergeCell ref="C42:C43"/>
    <mergeCell ref="C46:C47"/>
    <mergeCell ref="E30:E31"/>
    <mergeCell ref="E34:E35"/>
    <mergeCell ref="E38:E39"/>
    <mergeCell ref="E46:E47"/>
    <mergeCell ref="A51:I52"/>
    <mergeCell ref="A8:E9"/>
    <mergeCell ref="A14:A15"/>
    <mergeCell ref="A16:A17"/>
    <mergeCell ref="A18:A21"/>
    <mergeCell ref="A30:A31"/>
    <mergeCell ref="A34:A35"/>
    <mergeCell ref="B26:E26"/>
    <mergeCell ref="B27:E27"/>
    <mergeCell ref="B28:E28"/>
    <mergeCell ref="A49:I49"/>
    <mergeCell ref="A50:I50"/>
    <mergeCell ref="A38:A39"/>
    <mergeCell ref="A42:A43"/>
    <mergeCell ref="A46:A47"/>
    <mergeCell ref="B46:B47"/>
  </mergeCells>
  <pageMargins left="0.51180555555555596" right="0.51180555555555596" top="1.4479166666666701" bottom="0.78680555555555598" header="0.31388888888888899" footer="0.31388888888888899"/>
  <pageSetup paperSize="9" scale="77" orientation="portrait" r:id="rId1"/>
  <headerFooter>
    <oddHeader>&amp;C&amp;G
DEFENSORIA PÚBLICA DO ESTADO DE RORAIMA
“Amazônia: Patrimônio dos brasileiros”
____________________________________________________________________________________________________</oddHeader>
  </headerFooter>
  <colBreaks count="1" manualBreakCount="1">
    <brk id="9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6"/>
  <sheetViews>
    <sheetView view="pageBreakPreview" zoomScaleNormal="100" zoomScaleSheetLayoutView="100" workbookViewId="0">
      <selection activeCell="C12" sqref="C12"/>
    </sheetView>
  </sheetViews>
  <sheetFormatPr defaultColWidth="9" defaultRowHeight="15"/>
  <cols>
    <col min="1" max="1" width="9.5703125" style="1" customWidth="1"/>
    <col min="2" max="2" width="18.28515625" style="1" customWidth="1"/>
    <col min="3" max="3" width="15.140625" style="1" customWidth="1"/>
    <col min="4" max="4" width="24.7109375" style="1" customWidth="1"/>
  </cols>
  <sheetData>
    <row r="1" spans="1:4">
      <c r="A1" s="405" t="s">
        <v>526</v>
      </c>
      <c r="B1" s="405"/>
      <c r="C1" s="405"/>
      <c r="D1" s="405"/>
    </row>
    <row r="2" spans="1:4">
      <c r="A2" s="401"/>
      <c r="B2" s="402"/>
      <c r="C2" s="402"/>
      <c r="D2" s="403"/>
    </row>
    <row r="3" spans="1:4" ht="30" customHeight="1">
      <c r="A3" s="360" t="str">
        <f>'PB III - Planilha Orçamentaria'!A4:G4</f>
        <v xml:space="preserve">OBRA: REFORMA DO PRÉDIO DA DEFENSORIA PÚBLICA DO ESTADO DE RORAIMA NO MUNICÍPIO DE CARACARAÍ  - DPE/RR </v>
      </c>
      <c r="B3" s="360"/>
      <c r="C3" s="360"/>
      <c r="D3" s="360"/>
    </row>
    <row r="4" spans="1:4">
      <c r="A4" s="401"/>
      <c r="B4" s="402"/>
      <c r="C4" s="402"/>
      <c r="D4" s="403"/>
    </row>
    <row r="5" spans="1:4" ht="24" customHeight="1">
      <c r="A5" s="360" t="str">
        <f>'PB III - Planilha Orçamentaria'!A6:G6</f>
        <v>ENDEREÇO:Av Dr. Zany, Bairro: Santa Luzia</v>
      </c>
      <c r="B5" s="360"/>
      <c r="C5" s="360"/>
      <c r="D5" s="360"/>
    </row>
    <row r="6" spans="1:4">
      <c r="A6" s="401"/>
      <c r="B6" s="402"/>
      <c r="C6" s="402"/>
      <c r="D6" s="403"/>
    </row>
    <row r="7" spans="1:4">
      <c r="A7" s="2" t="s">
        <v>5</v>
      </c>
      <c r="B7" s="3" t="s">
        <v>346</v>
      </c>
      <c r="C7" s="4" t="s">
        <v>527</v>
      </c>
      <c r="D7" s="4" t="s">
        <v>528</v>
      </c>
    </row>
    <row r="8" spans="1:4">
      <c r="A8" s="404" t="s">
        <v>529</v>
      </c>
      <c r="B8" s="404"/>
      <c r="C8" s="404"/>
      <c r="D8" s="404"/>
    </row>
    <row r="9" spans="1:4">
      <c r="A9" s="5" t="s">
        <v>530</v>
      </c>
      <c r="B9" s="6" t="s">
        <v>531</v>
      </c>
      <c r="C9" s="7">
        <v>20</v>
      </c>
      <c r="D9" s="7">
        <v>20</v>
      </c>
    </row>
    <row r="10" spans="1:4">
      <c r="A10" s="5" t="s">
        <v>532</v>
      </c>
      <c r="B10" s="6" t="s">
        <v>533</v>
      </c>
      <c r="C10" s="7">
        <v>1.5</v>
      </c>
      <c r="D10" s="7">
        <v>1.5</v>
      </c>
    </row>
    <row r="11" spans="1:4">
      <c r="A11" s="5" t="s">
        <v>534</v>
      </c>
      <c r="B11" s="6" t="s">
        <v>535</v>
      </c>
      <c r="C11" s="7">
        <v>1</v>
      </c>
      <c r="D11" s="7">
        <v>1</v>
      </c>
    </row>
    <row r="12" spans="1:4">
      <c r="A12" s="5" t="s">
        <v>536</v>
      </c>
      <c r="B12" s="6" t="s">
        <v>537</v>
      </c>
      <c r="C12" s="7">
        <v>0.2</v>
      </c>
      <c r="D12" s="7">
        <v>0.2</v>
      </c>
    </row>
    <row r="13" spans="1:4">
      <c r="A13" s="5" t="s">
        <v>538</v>
      </c>
      <c r="B13" s="6" t="s">
        <v>539</v>
      </c>
      <c r="C13" s="7">
        <v>0.6</v>
      </c>
      <c r="D13" s="7">
        <v>0.6</v>
      </c>
    </row>
    <row r="14" spans="1:4">
      <c r="A14" s="5" t="s">
        <v>540</v>
      </c>
      <c r="B14" s="6" t="s">
        <v>541</v>
      </c>
      <c r="C14" s="7">
        <v>2.5</v>
      </c>
      <c r="D14" s="7">
        <v>2.5</v>
      </c>
    </row>
    <row r="15" spans="1:4" ht="36">
      <c r="A15" s="5" t="s">
        <v>542</v>
      </c>
      <c r="B15" s="6" t="s">
        <v>543</v>
      </c>
      <c r="C15" s="7">
        <v>3</v>
      </c>
      <c r="D15" s="7">
        <v>3</v>
      </c>
    </row>
    <row r="16" spans="1:4">
      <c r="A16" s="5" t="s">
        <v>544</v>
      </c>
      <c r="B16" s="6" t="s">
        <v>545</v>
      </c>
      <c r="C16" s="7">
        <v>8</v>
      </c>
      <c r="D16" s="7">
        <v>8</v>
      </c>
    </row>
    <row r="17" spans="1:4">
      <c r="A17" s="5" t="s">
        <v>546</v>
      </c>
      <c r="B17" s="6" t="s">
        <v>547</v>
      </c>
      <c r="C17" s="7">
        <v>0</v>
      </c>
      <c r="D17" s="7">
        <v>0</v>
      </c>
    </row>
    <row r="18" spans="1:4">
      <c r="A18" s="2" t="s">
        <v>548</v>
      </c>
      <c r="B18" s="8" t="s">
        <v>202</v>
      </c>
      <c r="C18" s="9">
        <f>SUM(C9:C17)</f>
        <v>36.799999999999997</v>
      </c>
      <c r="D18" s="9">
        <f>SUM(D9:D17)</f>
        <v>36.799999999999997</v>
      </c>
    </row>
    <row r="19" spans="1:4">
      <c r="A19" s="404" t="s">
        <v>549</v>
      </c>
      <c r="B19" s="404"/>
      <c r="C19" s="404"/>
      <c r="D19" s="404"/>
    </row>
    <row r="20" spans="1:4" ht="24">
      <c r="A20" s="5" t="s">
        <v>550</v>
      </c>
      <c r="B20" s="6" t="s">
        <v>551</v>
      </c>
      <c r="C20" s="7">
        <v>18.07</v>
      </c>
      <c r="D20" s="7">
        <v>0</v>
      </c>
    </row>
    <row r="21" spans="1:4">
      <c r="A21" s="5" t="s">
        <v>552</v>
      </c>
      <c r="B21" s="6" t="s">
        <v>553</v>
      </c>
      <c r="C21" s="7">
        <v>5.08</v>
      </c>
      <c r="D21" s="7">
        <v>0</v>
      </c>
    </row>
    <row r="22" spans="1:4">
      <c r="A22" s="5" t="s">
        <v>554</v>
      </c>
      <c r="B22" s="6" t="s">
        <v>555</v>
      </c>
      <c r="C22" s="7">
        <v>0.92</v>
      </c>
      <c r="D22" s="7">
        <v>0.69</v>
      </c>
    </row>
    <row r="23" spans="1:4">
      <c r="A23" s="5" t="s">
        <v>556</v>
      </c>
      <c r="B23" s="6" t="s">
        <v>557</v>
      </c>
      <c r="C23" s="7">
        <v>10.98</v>
      </c>
      <c r="D23" s="7">
        <v>8.33</v>
      </c>
    </row>
    <row r="24" spans="1:4">
      <c r="A24" s="5" t="s">
        <v>558</v>
      </c>
      <c r="B24" s="6" t="s">
        <v>559</v>
      </c>
      <c r="C24" s="7">
        <v>0.08</v>
      </c>
      <c r="D24" s="7">
        <v>0.06</v>
      </c>
    </row>
    <row r="25" spans="1:4">
      <c r="A25" s="5" t="s">
        <v>560</v>
      </c>
      <c r="B25" s="6" t="s">
        <v>561</v>
      </c>
      <c r="C25" s="7">
        <v>0.73</v>
      </c>
      <c r="D25" s="7">
        <v>0.56000000000000005</v>
      </c>
    </row>
    <row r="26" spans="1:4">
      <c r="A26" s="5" t="s">
        <v>562</v>
      </c>
      <c r="B26" s="6" t="s">
        <v>563</v>
      </c>
      <c r="C26" s="7">
        <v>1.47</v>
      </c>
      <c r="D26" s="7">
        <v>0</v>
      </c>
    </row>
    <row r="27" spans="1:4" ht="24">
      <c r="A27" s="5" t="s">
        <v>564</v>
      </c>
      <c r="B27" s="6" t="s">
        <v>565</v>
      </c>
      <c r="C27" s="7">
        <v>0.12</v>
      </c>
      <c r="D27" s="7">
        <v>0.09</v>
      </c>
    </row>
    <row r="28" spans="1:4">
      <c r="A28" s="5" t="s">
        <v>566</v>
      </c>
      <c r="B28" s="6" t="s">
        <v>567</v>
      </c>
      <c r="C28" s="7">
        <v>9.65</v>
      </c>
      <c r="D28" s="7">
        <v>7.32</v>
      </c>
    </row>
    <row r="29" spans="1:4">
      <c r="A29" s="5" t="s">
        <v>568</v>
      </c>
      <c r="B29" s="6" t="s">
        <v>569</v>
      </c>
      <c r="C29" s="7">
        <v>0.03</v>
      </c>
      <c r="D29" s="7">
        <v>0.02</v>
      </c>
    </row>
    <row r="30" spans="1:4">
      <c r="A30" s="2" t="s">
        <v>570</v>
      </c>
      <c r="B30" s="8" t="s">
        <v>202</v>
      </c>
      <c r="C30" s="9">
        <f>SUM(C20:C29)</f>
        <v>47.129999999999988</v>
      </c>
      <c r="D30" s="9">
        <f>SUM(D20:D29)</f>
        <v>17.07</v>
      </c>
    </row>
    <row r="31" spans="1:4">
      <c r="A31" s="404" t="s">
        <v>571</v>
      </c>
      <c r="B31" s="404"/>
      <c r="C31" s="404"/>
      <c r="D31" s="404"/>
    </row>
    <row r="32" spans="1:4" ht="24">
      <c r="A32" s="5" t="s">
        <v>572</v>
      </c>
      <c r="B32" s="6" t="s">
        <v>573</v>
      </c>
      <c r="C32" s="7">
        <v>5.68</v>
      </c>
      <c r="D32" s="7">
        <v>4.3099999999999996</v>
      </c>
    </row>
    <row r="33" spans="1:4" ht="24">
      <c r="A33" s="5" t="s">
        <v>574</v>
      </c>
      <c r="B33" s="6" t="s">
        <v>575</v>
      </c>
      <c r="C33" s="7">
        <v>0.13</v>
      </c>
      <c r="D33" s="7">
        <v>0.1</v>
      </c>
    </row>
    <row r="34" spans="1:4">
      <c r="A34" s="5" t="s">
        <v>576</v>
      </c>
      <c r="B34" s="6" t="s">
        <v>577</v>
      </c>
      <c r="C34" s="7">
        <v>3.83</v>
      </c>
      <c r="D34" s="7">
        <v>2.9</v>
      </c>
    </row>
    <row r="35" spans="1:4" ht="24">
      <c r="A35" s="5" t="s">
        <v>578</v>
      </c>
      <c r="B35" s="6" t="s">
        <v>579</v>
      </c>
      <c r="C35" s="7">
        <v>4.71</v>
      </c>
      <c r="D35" s="7">
        <v>3.57</v>
      </c>
    </row>
    <row r="36" spans="1:4">
      <c r="A36" s="5" t="s">
        <v>580</v>
      </c>
      <c r="B36" s="6" t="s">
        <v>581</v>
      </c>
      <c r="C36" s="7">
        <v>0.48</v>
      </c>
      <c r="D36" s="7">
        <v>0.36</v>
      </c>
    </row>
    <row r="37" spans="1:4">
      <c r="A37" s="2" t="s">
        <v>582</v>
      </c>
      <c r="B37" s="10" t="s">
        <v>202</v>
      </c>
      <c r="C37" s="9">
        <f>SUM(C32:C36)</f>
        <v>14.830000000000002</v>
      </c>
      <c r="D37" s="9">
        <f>SUM(D32:D36)</f>
        <v>11.239999999999998</v>
      </c>
    </row>
    <row r="38" spans="1:4">
      <c r="A38" s="404" t="s">
        <v>583</v>
      </c>
      <c r="B38" s="404"/>
      <c r="C38" s="404"/>
      <c r="D38" s="404"/>
    </row>
    <row r="39" spans="1:4" ht="36">
      <c r="A39" s="5" t="s">
        <v>584</v>
      </c>
      <c r="B39" s="6" t="s">
        <v>585</v>
      </c>
      <c r="C39" s="7">
        <v>17.34</v>
      </c>
      <c r="D39" s="7">
        <v>6.28</v>
      </c>
    </row>
    <row r="40" spans="1:4" ht="72">
      <c r="A40" s="5" t="s">
        <v>586</v>
      </c>
      <c r="B40" s="6" t="s">
        <v>587</v>
      </c>
      <c r="C40" s="7">
        <v>0.5</v>
      </c>
      <c r="D40" s="7">
        <v>0.38</v>
      </c>
    </row>
    <row r="41" spans="1:4">
      <c r="A41" s="2" t="s">
        <v>588</v>
      </c>
      <c r="B41" s="8" t="s">
        <v>202</v>
      </c>
      <c r="C41" s="9">
        <f>SUM(C39:C40)</f>
        <v>17.84</v>
      </c>
      <c r="D41" s="9">
        <f>SUM(D39:D40)</f>
        <v>6.66</v>
      </c>
    </row>
    <row r="42" spans="1:4">
      <c r="A42" s="399" t="s">
        <v>589</v>
      </c>
      <c r="B42" s="399"/>
      <c r="C42" s="9">
        <f>C41+C37+C30+C18</f>
        <v>116.59999999999998</v>
      </c>
      <c r="D42" s="9">
        <f>D41+D37+D30+D18</f>
        <v>71.77</v>
      </c>
    </row>
    <row r="44" spans="1:4" ht="15" customHeight="1">
      <c r="A44" s="400" t="s">
        <v>590</v>
      </c>
      <c r="B44" s="400"/>
      <c r="C44" s="400"/>
      <c r="D44" s="400"/>
    </row>
    <row r="45" spans="1:4">
      <c r="A45" s="400"/>
      <c r="B45" s="400"/>
      <c r="C45" s="400"/>
      <c r="D45" s="400"/>
    </row>
    <row r="46" spans="1:4">
      <c r="A46" s="400"/>
      <c r="B46" s="400"/>
      <c r="C46" s="400"/>
      <c r="D46" s="400"/>
    </row>
  </sheetData>
  <mergeCells count="12">
    <mergeCell ref="A1:D1"/>
    <mergeCell ref="A2:D2"/>
    <mergeCell ref="A3:D3"/>
    <mergeCell ref="A4:D4"/>
    <mergeCell ref="A5:D5"/>
    <mergeCell ref="A42:B42"/>
    <mergeCell ref="A44:D46"/>
    <mergeCell ref="A6:D6"/>
    <mergeCell ref="A8:D8"/>
    <mergeCell ref="A19:D19"/>
    <mergeCell ref="A31:D31"/>
    <mergeCell ref="A38:D38"/>
  </mergeCells>
  <pageMargins left="0.51180555555555596" right="0.51180555555555596" top="1.8277777777777799" bottom="0.78680555555555598" header="0.31388888888888899" footer="0.31388888888888899"/>
  <pageSetup paperSize="9" scale="77" orientation="portrait" r:id="rId1"/>
  <headerFooter>
    <oddHeader>&amp;C
&amp;G
DEFENSORIA PÚBLICA DO ESTADO DE RORAIMA
“Amazônia: Patrimônio dos brasileiros”
____________________________________________________________________________________________________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13</vt:i4>
      </vt:variant>
    </vt:vector>
  </HeadingPairs>
  <TitlesOfParts>
    <vt:vector size="22" baseType="lpstr">
      <vt:lpstr>PB III - Planilha Orçamentaria</vt:lpstr>
      <vt:lpstr>PB V - CURVA ABC</vt:lpstr>
      <vt:lpstr>PB IV - Cronograma</vt:lpstr>
      <vt:lpstr>PB VI - MEMÓRIA DE CÁLCULO</vt:lpstr>
      <vt:lpstr>PB VIII - Comp. Auxiliares</vt:lpstr>
      <vt:lpstr>PB VII - Cotações</vt:lpstr>
      <vt:lpstr>PB IX.A - BDI</vt:lpstr>
      <vt:lpstr>PB IX.B - BDI Diferenciado</vt:lpstr>
      <vt:lpstr>PB IX.C - Encargos Sociais</vt:lpstr>
      <vt:lpstr>'PB III - Planilha Orçamentaria'!Area_de_impressao</vt:lpstr>
      <vt:lpstr>'PB IV - Cronograma'!Area_de_impressao</vt:lpstr>
      <vt:lpstr>'PB IX.A - BDI'!Area_de_impressao</vt:lpstr>
      <vt:lpstr>'PB IX.B - BDI Diferenciado'!Area_de_impressao</vt:lpstr>
      <vt:lpstr>'PB IX.C - Encargos Sociais'!Area_de_impressao</vt:lpstr>
      <vt:lpstr>'PB V - CURVA ABC'!Area_de_impressao</vt:lpstr>
      <vt:lpstr>'PB VI - MEMÓRIA DE CÁLCULO'!Area_de_impressao</vt:lpstr>
      <vt:lpstr>'PB VII - Cotações'!Area_de_impressao</vt:lpstr>
      <vt:lpstr>'PB VIII - Comp. Auxiliares'!Area_de_impressao</vt:lpstr>
      <vt:lpstr>'PB III - Planilha Orçamentaria'!Titulos_de_impressao</vt:lpstr>
      <vt:lpstr>'PB IV - Cronograma'!Titulos_de_impressao</vt:lpstr>
      <vt:lpstr>'PB VI - MEMÓRIA DE CÁLCULO'!Titulos_de_impressao</vt:lpstr>
      <vt:lpstr>'PB VIII - Comp. Auxiliares'!Titulos_de_impressao</vt:lpstr>
    </vt:vector>
  </TitlesOfParts>
  <Company>Instituto Federal de Roraima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da Silva Santos</dc:creator>
  <cp:lastModifiedBy>Vinicius Diniz</cp:lastModifiedBy>
  <cp:lastPrinted>2017-10-11T14:32:00Z</cp:lastPrinted>
  <dcterms:created xsi:type="dcterms:W3CDTF">2014-08-05T13:44:00Z</dcterms:created>
  <dcterms:modified xsi:type="dcterms:W3CDTF">2017-10-18T14:34:17Z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