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0" windowHeight="8370" tabRatio="888"/>
  </bookViews>
  <sheets>
    <sheet name="PB III - Planilha Orçamentaria" sheetId="1" r:id="rId1"/>
    <sheet name="PB IV - Cronograma" sheetId="5" r:id="rId2"/>
    <sheet name="PB V - Curva ABC" sheetId="14" r:id="rId3"/>
    <sheet name="PB VI - MEMÓRIA DE CÁLCULO" sheetId="7" r:id="rId4"/>
    <sheet name="PB VIII - Comp. Auxiliares" sheetId="3" r:id="rId5"/>
    <sheet name="PB VII - Cotações" sheetId="13" r:id="rId6"/>
    <sheet name="PB IX.A - BDI" sheetId="9" r:id="rId7"/>
    <sheet name="PB IX.B - BDI Diferenciado" sheetId="12" r:id="rId8"/>
    <sheet name="PB IX.C - Encargos Sociais" sheetId="11" r:id="rId9"/>
  </sheets>
  <definedNames>
    <definedName name="_xlnm._FilterDatabase" localSheetId="2" hidden="1">'PB V - Curva ABC'!$A$8:$F$200</definedName>
    <definedName name="_xlnm.Print_Area" localSheetId="0">'PB III - Planilha Orçamentaria'!$A$2:$G$212</definedName>
    <definedName name="_xlnm.Print_Area" localSheetId="1">'PB IV - Cronograma'!$A$1:$F$69</definedName>
    <definedName name="_xlnm.Print_Area" localSheetId="6">'PB IX.A - BDI'!$A$1:$I$53</definedName>
    <definedName name="_xlnm.Print_Area" localSheetId="7">'PB IX.B - BDI Diferenciado'!$A$1:$I$52</definedName>
    <definedName name="_xlnm.Print_Area" localSheetId="8">'PB IX.C - Encargos Sociais'!$A$1:$D$46</definedName>
    <definedName name="_xlnm.Print_Area" localSheetId="2">'PB V - Curva ABC'!$A$1:$I$136</definedName>
    <definedName name="_xlnm.Print_Area" localSheetId="3">'PB VI - MEMÓRIA DE CÁLCULO'!$A$1:$G$302</definedName>
    <definedName name="_xlnm.Print_Area" localSheetId="5">'PB VII - Cotações'!$A$1:$F$79</definedName>
    <definedName name="_xlnm.Print_Area" localSheetId="4">'PB VIII - Comp. Auxiliares'!$A$1:$F$291</definedName>
    <definedName name="_xlnm.Print_Titles" localSheetId="0">'PB III - Planilha Orçamentaria'!$2:$10</definedName>
    <definedName name="_xlnm.Print_Titles" localSheetId="1">'PB IV - Cronograma'!$1:$5</definedName>
    <definedName name="_xlnm.Print_Titles" localSheetId="3">'PB VI - MEMÓRIA DE CÁLCULO'!$1:$5</definedName>
    <definedName name="_xlnm.Print_Titles" localSheetId="4">'PB VIII - Comp. Auxiliares'!$1:$6</definedName>
  </definedNames>
  <calcPr calcId="124519"/>
</workbook>
</file>

<file path=xl/calcChain.xml><?xml version="1.0" encoding="utf-8"?>
<calcChain xmlns="http://schemas.openxmlformats.org/spreadsheetml/2006/main">
  <c r="D42" i="11"/>
  <c r="C42"/>
  <c r="D41"/>
  <c r="C41"/>
  <c r="D37"/>
  <c r="C37"/>
  <c r="D30"/>
  <c r="C30"/>
  <c r="D18"/>
  <c r="C18"/>
  <c r="A5"/>
  <c r="A3"/>
  <c r="F46" i="12"/>
  <c r="B46"/>
  <c r="B43"/>
  <c r="B42"/>
  <c r="C39"/>
  <c r="D38"/>
  <c r="C38"/>
  <c r="B38"/>
  <c r="C35"/>
  <c r="D34"/>
  <c r="C34"/>
  <c r="B34"/>
  <c r="I22"/>
  <c r="I21"/>
  <c r="I20"/>
  <c r="I19"/>
  <c r="I17"/>
  <c r="I16"/>
  <c r="I15"/>
  <c r="I14"/>
  <c r="I13"/>
  <c r="I12"/>
  <c r="I11"/>
  <c r="I10"/>
  <c r="A4"/>
  <c r="A3"/>
  <c r="F47" i="9"/>
  <c r="B47"/>
  <c r="B44"/>
  <c r="B43"/>
  <c r="C40"/>
  <c r="D39"/>
  <c r="C39"/>
  <c r="B39"/>
  <c r="C36"/>
  <c r="D35"/>
  <c r="C35"/>
  <c r="B35"/>
  <c r="I23"/>
  <c r="I22"/>
  <c r="I21"/>
  <c r="I20"/>
  <c r="I19"/>
  <c r="I17"/>
  <c r="I16"/>
  <c r="I15"/>
  <c r="I14"/>
  <c r="I13"/>
  <c r="I12"/>
  <c r="I11"/>
  <c r="I10"/>
  <c r="A4"/>
  <c r="A3"/>
  <c r="F78" i="13"/>
  <c r="F74"/>
  <c r="B74"/>
  <c r="F69"/>
  <c r="F65"/>
  <c r="F61"/>
  <c r="F57"/>
  <c r="F53"/>
  <c r="F48"/>
  <c r="F43"/>
  <c r="E43"/>
  <c r="F39"/>
  <c r="F35"/>
  <c r="D35"/>
  <c r="C35"/>
  <c r="F24"/>
  <c r="F20"/>
  <c r="F16"/>
  <c r="F12"/>
  <c r="F8"/>
  <c r="A3"/>
  <c r="F288" i="3"/>
  <c r="F287"/>
  <c r="E287"/>
  <c r="F286"/>
  <c r="F285"/>
  <c r="D285"/>
  <c r="F280"/>
  <c r="F279"/>
  <c r="D279"/>
  <c r="F274"/>
  <c r="F273"/>
  <c r="F272"/>
  <c r="F271"/>
  <c r="F270"/>
  <c r="F266"/>
  <c r="F265"/>
  <c r="F264"/>
  <c r="F260"/>
  <c r="F259"/>
  <c r="F258"/>
  <c r="F254"/>
  <c r="F253"/>
  <c r="F252"/>
  <c r="F251"/>
  <c r="F250"/>
  <c r="F246"/>
  <c r="F245"/>
  <c r="E245"/>
  <c r="A245"/>
  <c r="F244"/>
  <c r="F243"/>
  <c r="F239"/>
  <c r="F238"/>
  <c r="E238"/>
  <c r="A238"/>
  <c r="F237"/>
  <c r="F236"/>
  <c r="F232"/>
  <c r="F231"/>
  <c r="E231"/>
  <c r="A231"/>
  <c r="F230"/>
  <c r="E230"/>
  <c r="F229"/>
  <c r="F228"/>
  <c r="F224"/>
  <c r="F223"/>
  <c r="E223"/>
  <c r="A223"/>
  <c r="F222"/>
  <c r="E222"/>
  <c r="A222"/>
  <c r="F221"/>
  <c r="E221"/>
  <c r="A221"/>
  <c r="F220"/>
  <c r="E220"/>
  <c r="A220"/>
  <c r="F219"/>
  <c r="A219"/>
  <c r="F218"/>
  <c r="F217"/>
  <c r="F212"/>
  <c r="F211"/>
  <c r="E211"/>
  <c r="A211"/>
  <c r="F210"/>
  <c r="E210"/>
  <c r="A210"/>
  <c r="F209"/>
  <c r="A209"/>
  <c r="F208"/>
  <c r="E208"/>
  <c r="A208"/>
  <c r="F207"/>
  <c r="E207"/>
  <c r="A207"/>
  <c r="F206"/>
  <c r="F201"/>
  <c r="F200"/>
  <c r="F199"/>
  <c r="A199"/>
  <c r="F198"/>
  <c r="F193"/>
  <c r="F191"/>
  <c r="F187"/>
  <c r="F186"/>
  <c r="F181"/>
  <c r="F180"/>
  <c r="F179"/>
  <c r="F175"/>
  <c r="F174"/>
  <c r="F173"/>
  <c r="F172"/>
  <c r="E172"/>
  <c r="A172"/>
  <c r="F171"/>
  <c r="E171"/>
  <c r="A171"/>
  <c r="F170"/>
  <c r="F169"/>
  <c r="F168"/>
  <c r="F167"/>
  <c r="F166"/>
  <c r="E166"/>
  <c r="A166"/>
  <c r="F165"/>
  <c r="F164"/>
  <c r="F163"/>
  <c r="F162"/>
  <c r="F161"/>
  <c r="F157"/>
  <c r="F156"/>
  <c r="F155"/>
  <c r="F154"/>
  <c r="F153"/>
  <c r="F152"/>
  <c r="F148"/>
  <c r="F147"/>
  <c r="F146"/>
  <c r="F145"/>
  <c r="F144"/>
  <c r="F140"/>
  <c r="F139"/>
  <c r="F138"/>
  <c r="F137"/>
  <c r="F136"/>
  <c r="E136"/>
  <c r="A136"/>
  <c r="F131"/>
  <c r="F130"/>
  <c r="F129"/>
  <c r="F125"/>
  <c r="F124"/>
  <c r="F123"/>
  <c r="F122"/>
  <c r="F121"/>
  <c r="F117"/>
  <c r="F116"/>
  <c r="F115"/>
  <c r="F110"/>
  <c r="F109"/>
  <c r="F108"/>
  <c r="F107"/>
  <c r="F103"/>
  <c r="F102"/>
  <c r="F101"/>
  <c r="F100"/>
  <c r="F96"/>
  <c r="F95"/>
  <c r="F94"/>
  <c r="F93"/>
  <c r="E93"/>
  <c r="A93"/>
  <c r="F92"/>
  <c r="E92"/>
  <c r="A92"/>
  <c r="F88"/>
  <c r="F87"/>
  <c r="F86"/>
  <c r="F85"/>
  <c r="F84"/>
  <c r="F80"/>
  <c r="F79"/>
  <c r="F78"/>
  <c r="F77"/>
  <c r="F76"/>
  <c r="F75"/>
  <c r="F74"/>
  <c r="F73"/>
  <c r="F72"/>
  <c r="F71"/>
  <c r="F67"/>
  <c r="F66"/>
  <c r="F65"/>
  <c r="F64"/>
  <c r="F63"/>
  <c r="F62"/>
  <c r="F61"/>
  <c r="F60"/>
  <c r="F59"/>
  <c r="F58"/>
  <c r="F57"/>
  <c r="F56"/>
  <c r="F55"/>
  <c r="F51"/>
  <c r="F50"/>
  <c r="F46"/>
  <c r="F45"/>
  <c r="F44"/>
  <c r="F43"/>
  <c r="F42"/>
  <c r="F41"/>
  <c r="F37"/>
  <c r="F36"/>
  <c r="E36"/>
  <c r="A36"/>
  <c r="F32"/>
  <c r="F31"/>
  <c r="F30"/>
  <c r="F26"/>
  <c r="F25"/>
  <c r="F24"/>
  <c r="F23"/>
  <c r="F19"/>
  <c r="F18"/>
  <c r="F17"/>
  <c r="F13"/>
  <c r="F12"/>
  <c r="F11"/>
  <c r="F10"/>
  <c r="A6"/>
  <c r="A3"/>
  <c r="G302" i="7"/>
  <c r="G298"/>
  <c r="O297"/>
  <c r="N296"/>
  <c r="G296"/>
  <c r="G295"/>
  <c r="E295"/>
  <c r="G294"/>
  <c r="E294"/>
  <c r="G293"/>
  <c r="E293"/>
  <c r="G292"/>
  <c r="G291"/>
  <c r="E291"/>
  <c r="G290"/>
  <c r="E290"/>
  <c r="G289"/>
  <c r="G285"/>
  <c r="G284"/>
  <c r="E284"/>
  <c r="C284"/>
  <c r="G283"/>
  <c r="C283"/>
  <c r="G282"/>
  <c r="C282"/>
  <c r="G281"/>
  <c r="C281"/>
  <c r="G280"/>
  <c r="E280"/>
  <c r="C280"/>
  <c r="G279"/>
  <c r="G278"/>
  <c r="E278"/>
  <c r="C278"/>
  <c r="G274"/>
  <c r="F271"/>
  <c r="C271"/>
  <c r="G267"/>
  <c r="F267"/>
  <c r="G266"/>
  <c r="G262"/>
  <c r="G261"/>
  <c r="G260"/>
  <c r="G259"/>
  <c r="G254"/>
  <c r="G253"/>
  <c r="G252"/>
  <c r="G251"/>
  <c r="G250"/>
  <c r="G235"/>
  <c r="G232"/>
  <c r="G229"/>
  <c r="G222"/>
  <c r="G192"/>
  <c r="G189"/>
  <c r="G188"/>
  <c r="F188"/>
  <c r="G186"/>
  <c r="G183"/>
  <c r="G182"/>
  <c r="G180"/>
  <c r="G179"/>
  <c r="F179"/>
  <c r="G177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45"/>
  <c r="G144"/>
  <c r="D144"/>
  <c r="B144"/>
  <c r="G143"/>
  <c r="C143"/>
  <c r="B143"/>
  <c r="G142"/>
  <c r="E142"/>
  <c r="C142"/>
  <c r="B142"/>
  <c r="G141"/>
  <c r="E141"/>
  <c r="C141"/>
  <c r="B141"/>
  <c r="G140"/>
  <c r="C140"/>
  <c r="B140"/>
  <c r="G139"/>
  <c r="C139"/>
  <c r="B139"/>
  <c r="G138"/>
  <c r="D138"/>
  <c r="C138"/>
  <c r="B138"/>
  <c r="G137"/>
  <c r="E137"/>
  <c r="C137"/>
  <c r="B137"/>
  <c r="G136"/>
  <c r="D136"/>
  <c r="C136"/>
  <c r="B136"/>
  <c r="G135"/>
  <c r="D135"/>
  <c r="C135"/>
  <c r="B135"/>
  <c r="G134"/>
  <c r="E134"/>
  <c r="D134"/>
  <c r="C134"/>
  <c r="B134"/>
  <c r="G133"/>
  <c r="D133"/>
  <c r="C133"/>
  <c r="B133"/>
  <c r="G132"/>
  <c r="D132"/>
  <c r="C132"/>
  <c r="B132"/>
  <c r="G131"/>
  <c r="E131"/>
  <c r="D131"/>
  <c r="C131"/>
  <c r="B131"/>
  <c r="G130"/>
  <c r="D130"/>
  <c r="C130"/>
  <c r="B130"/>
  <c r="G126"/>
  <c r="G125"/>
  <c r="G124"/>
  <c r="G123"/>
  <c r="G122"/>
  <c r="G121"/>
  <c r="G118"/>
  <c r="G117"/>
  <c r="G116"/>
  <c r="G115"/>
  <c r="G114"/>
  <c r="G113"/>
  <c r="G110"/>
  <c r="G109"/>
  <c r="B109"/>
  <c r="G108"/>
  <c r="D108"/>
  <c r="C108"/>
  <c r="G107"/>
  <c r="C107"/>
  <c r="G106"/>
  <c r="D106"/>
  <c r="C106"/>
  <c r="G105"/>
  <c r="C105"/>
  <c r="G104"/>
  <c r="D104"/>
  <c r="C104"/>
  <c r="G103"/>
  <c r="D103"/>
  <c r="C103"/>
  <c r="G102"/>
  <c r="D102"/>
  <c r="C102"/>
  <c r="G101"/>
  <c r="D101"/>
  <c r="C101"/>
  <c r="G94"/>
  <c r="G93"/>
  <c r="G92"/>
  <c r="G91"/>
  <c r="G86"/>
  <c r="G85"/>
  <c r="F85"/>
  <c r="D85"/>
  <c r="G84"/>
  <c r="F84"/>
  <c r="D84"/>
  <c r="G82"/>
  <c r="G77"/>
  <c r="G76"/>
  <c r="G73"/>
  <c r="G65"/>
  <c r="G64"/>
  <c r="E64"/>
  <c r="G63"/>
  <c r="E63"/>
  <c r="G62"/>
  <c r="E62"/>
  <c r="G61"/>
  <c r="E61"/>
  <c r="G60"/>
  <c r="G57"/>
  <c r="F57"/>
  <c r="E57"/>
  <c r="G49"/>
  <c r="G48"/>
  <c r="G47"/>
  <c r="E47"/>
  <c r="G46"/>
  <c r="E46"/>
  <c r="G43"/>
  <c r="G42"/>
  <c r="G41"/>
  <c r="G40"/>
  <c r="G39"/>
  <c r="G38"/>
  <c r="G37"/>
  <c r="G36"/>
  <c r="G35"/>
  <c r="G34"/>
  <c r="G33"/>
  <c r="G32"/>
  <c r="G31"/>
  <c r="G30"/>
  <c r="G29"/>
  <c r="G28"/>
  <c r="G27"/>
  <c r="G20"/>
  <c r="G19"/>
  <c r="G18"/>
  <c r="G12"/>
  <c r="A5"/>
  <c r="A3"/>
  <c r="P201" i="14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H136"/>
  <c r="G136"/>
  <c r="F136"/>
  <c r="P135"/>
  <c r="H135"/>
  <c r="G135"/>
  <c r="F135"/>
  <c r="P134"/>
  <c r="H134"/>
  <c r="G134"/>
  <c r="F134"/>
  <c r="P133"/>
  <c r="H133"/>
  <c r="G133"/>
  <c r="F133"/>
  <c r="P132"/>
  <c r="H132"/>
  <c r="G132"/>
  <c r="F132"/>
  <c r="P131"/>
  <c r="H131"/>
  <c r="G131"/>
  <c r="F131"/>
  <c r="P130"/>
  <c r="H130"/>
  <c r="G130"/>
  <c r="F130"/>
  <c r="P129"/>
  <c r="H129"/>
  <c r="G129"/>
  <c r="F129"/>
  <c r="P128"/>
  <c r="H128"/>
  <c r="G128"/>
  <c r="F128"/>
  <c r="P127"/>
  <c r="H127"/>
  <c r="G127"/>
  <c r="F127"/>
  <c r="P126"/>
  <c r="H126"/>
  <c r="G126"/>
  <c r="F126"/>
  <c r="P125"/>
  <c r="H125"/>
  <c r="G125"/>
  <c r="F125"/>
  <c r="P124"/>
  <c r="H124"/>
  <c r="G124"/>
  <c r="F124"/>
  <c r="P123"/>
  <c r="H123"/>
  <c r="G123"/>
  <c r="F123"/>
  <c r="P122"/>
  <c r="H122"/>
  <c r="G122"/>
  <c r="F122"/>
  <c r="P121"/>
  <c r="H121"/>
  <c r="G121"/>
  <c r="F121"/>
  <c r="P120"/>
  <c r="H120"/>
  <c r="G120"/>
  <c r="F120"/>
  <c r="P119"/>
  <c r="H119"/>
  <c r="G119"/>
  <c r="F119"/>
  <c r="P118"/>
  <c r="H118"/>
  <c r="G118"/>
  <c r="F118"/>
  <c r="P117"/>
  <c r="H117"/>
  <c r="G117"/>
  <c r="F117"/>
  <c r="P116"/>
  <c r="H116"/>
  <c r="G116"/>
  <c r="F116"/>
  <c r="P115"/>
  <c r="H115"/>
  <c r="G115"/>
  <c r="F115"/>
  <c r="P114"/>
  <c r="H114"/>
  <c r="G114"/>
  <c r="F114"/>
  <c r="P113"/>
  <c r="H113"/>
  <c r="G113"/>
  <c r="F113"/>
  <c r="P112"/>
  <c r="H112"/>
  <c r="G112"/>
  <c r="F112"/>
  <c r="P111"/>
  <c r="H111"/>
  <c r="G111"/>
  <c r="F111"/>
  <c r="P110"/>
  <c r="H110"/>
  <c r="G110"/>
  <c r="F110"/>
  <c r="P109"/>
  <c r="H109"/>
  <c r="G109"/>
  <c r="F109"/>
  <c r="P108"/>
  <c r="H108"/>
  <c r="G108"/>
  <c r="F108"/>
  <c r="P107"/>
  <c r="H107"/>
  <c r="G107"/>
  <c r="F107"/>
  <c r="P106"/>
  <c r="H106"/>
  <c r="G106"/>
  <c r="F106"/>
  <c r="P105"/>
  <c r="H105"/>
  <c r="G105"/>
  <c r="F105"/>
  <c r="P104"/>
  <c r="H104"/>
  <c r="G104"/>
  <c r="F104"/>
  <c r="P103"/>
  <c r="H103"/>
  <c r="G103"/>
  <c r="F103"/>
  <c r="P102"/>
  <c r="H102"/>
  <c r="G102"/>
  <c r="F102"/>
  <c r="P101"/>
  <c r="H101"/>
  <c r="G101"/>
  <c r="F101"/>
  <c r="P100"/>
  <c r="H100"/>
  <c r="G100"/>
  <c r="F100"/>
  <c r="P99"/>
  <c r="H99"/>
  <c r="G99"/>
  <c r="F99"/>
  <c r="P98"/>
  <c r="H98"/>
  <c r="G98"/>
  <c r="F98"/>
  <c r="P97"/>
  <c r="H97"/>
  <c r="G97"/>
  <c r="F97"/>
  <c r="P96"/>
  <c r="H96"/>
  <c r="G96"/>
  <c r="F96"/>
  <c r="P95"/>
  <c r="H95"/>
  <c r="G95"/>
  <c r="F95"/>
  <c r="P94"/>
  <c r="H94"/>
  <c r="G94"/>
  <c r="F94"/>
  <c r="P93"/>
  <c r="H93"/>
  <c r="G93"/>
  <c r="F93"/>
  <c r="P92"/>
  <c r="H92"/>
  <c r="G92"/>
  <c r="F92"/>
  <c r="P91"/>
  <c r="H91"/>
  <c r="G91"/>
  <c r="F91"/>
  <c r="P90"/>
  <c r="H90"/>
  <c r="G90"/>
  <c r="F90"/>
  <c r="P89"/>
  <c r="H89"/>
  <c r="G89"/>
  <c r="F89"/>
  <c r="P88"/>
  <c r="H88"/>
  <c r="G88"/>
  <c r="F88"/>
  <c r="P87"/>
  <c r="H87"/>
  <c r="G87"/>
  <c r="F87"/>
  <c r="P86"/>
  <c r="H86"/>
  <c r="G86"/>
  <c r="F86"/>
  <c r="P85"/>
  <c r="H85"/>
  <c r="G85"/>
  <c r="F85"/>
  <c r="P84"/>
  <c r="H84"/>
  <c r="G84"/>
  <c r="F84"/>
  <c r="P83"/>
  <c r="H83"/>
  <c r="G83"/>
  <c r="F83"/>
  <c r="P82"/>
  <c r="H82"/>
  <c r="G82"/>
  <c r="F82"/>
  <c r="P81"/>
  <c r="H81"/>
  <c r="G81"/>
  <c r="F81"/>
  <c r="P80"/>
  <c r="H80"/>
  <c r="G80"/>
  <c r="F80"/>
  <c r="P79"/>
  <c r="H79"/>
  <c r="G79"/>
  <c r="F79"/>
  <c r="P78"/>
  <c r="H78"/>
  <c r="G78"/>
  <c r="F78"/>
  <c r="P77"/>
  <c r="H77"/>
  <c r="G77"/>
  <c r="F77"/>
  <c r="P76"/>
  <c r="H76"/>
  <c r="G76"/>
  <c r="F76"/>
  <c r="P75"/>
  <c r="H75"/>
  <c r="G75"/>
  <c r="F75"/>
  <c r="P74"/>
  <c r="H74"/>
  <c r="G74"/>
  <c r="F74"/>
  <c r="P73"/>
  <c r="H73"/>
  <c r="G73"/>
  <c r="F73"/>
  <c r="P72"/>
  <c r="H72"/>
  <c r="G72"/>
  <c r="F72"/>
  <c r="P71"/>
  <c r="H71"/>
  <c r="G71"/>
  <c r="F71"/>
  <c r="P70"/>
  <c r="H70"/>
  <c r="G70"/>
  <c r="F70"/>
  <c r="P69"/>
  <c r="H69"/>
  <c r="G69"/>
  <c r="F69"/>
  <c r="P68"/>
  <c r="H68"/>
  <c r="G68"/>
  <c r="F68"/>
  <c r="P67"/>
  <c r="H67"/>
  <c r="G67"/>
  <c r="F67"/>
  <c r="P66"/>
  <c r="H66"/>
  <c r="G66"/>
  <c r="F66"/>
  <c r="P65"/>
  <c r="H65"/>
  <c r="G65"/>
  <c r="F65"/>
  <c r="P64"/>
  <c r="H64"/>
  <c r="G64"/>
  <c r="F64"/>
  <c r="P63"/>
  <c r="H63"/>
  <c r="G63"/>
  <c r="F63"/>
  <c r="P62"/>
  <c r="H62"/>
  <c r="G62"/>
  <c r="F62"/>
  <c r="P61"/>
  <c r="H61"/>
  <c r="G61"/>
  <c r="F61"/>
  <c r="P60"/>
  <c r="H60"/>
  <c r="G60"/>
  <c r="F60"/>
  <c r="P59"/>
  <c r="H59"/>
  <c r="G59"/>
  <c r="F59"/>
  <c r="P58"/>
  <c r="H58"/>
  <c r="G58"/>
  <c r="F58"/>
  <c r="P57"/>
  <c r="H57"/>
  <c r="G57"/>
  <c r="F57"/>
  <c r="H56"/>
  <c r="G56"/>
  <c r="F56"/>
  <c r="P55"/>
  <c r="H55"/>
  <c r="G55"/>
  <c r="F55"/>
  <c r="P54"/>
  <c r="H54"/>
  <c r="G54"/>
  <c r="F54"/>
  <c r="P53"/>
  <c r="H53"/>
  <c r="G53"/>
  <c r="F53"/>
  <c r="H52"/>
  <c r="G52"/>
  <c r="F52"/>
  <c r="P51"/>
  <c r="H51"/>
  <c r="G51"/>
  <c r="F51"/>
  <c r="P50"/>
  <c r="H50"/>
  <c r="G50"/>
  <c r="F50"/>
  <c r="P49"/>
  <c r="H49"/>
  <c r="G49"/>
  <c r="F49"/>
  <c r="P48"/>
  <c r="H48"/>
  <c r="G48"/>
  <c r="F48"/>
  <c r="P47"/>
  <c r="H47"/>
  <c r="G47"/>
  <c r="F47"/>
  <c r="P46"/>
  <c r="H46"/>
  <c r="G46"/>
  <c r="F46"/>
  <c r="P45"/>
  <c r="H45"/>
  <c r="G45"/>
  <c r="F45"/>
  <c r="P44"/>
  <c r="H44"/>
  <c r="G44"/>
  <c r="F44"/>
  <c r="P43"/>
  <c r="H43"/>
  <c r="G43"/>
  <c r="F43"/>
  <c r="P42"/>
  <c r="H42"/>
  <c r="G42"/>
  <c r="F42"/>
  <c r="P41"/>
  <c r="H41"/>
  <c r="G41"/>
  <c r="F41"/>
  <c r="P40"/>
  <c r="H40"/>
  <c r="G40"/>
  <c r="F40"/>
  <c r="P39"/>
  <c r="H39"/>
  <c r="G39"/>
  <c r="F39"/>
  <c r="P38"/>
  <c r="H38"/>
  <c r="G38"/>
  <c r="F38"/>
  <c r="P37"/>
  <c r="H37"/>
  <c r="G37"/>
  <c r="F37"/>
  <c r="P36"/>
  <c r="H36"/>
  <c r="G36"/>
  <c r="F36"/>
  <c r="P35"/>
  <c r="H35"/>
  <c r="G35"/>
  <c r="F35"/>
  <c r="P34"/>
  <c r="H34"/>
  <c r="G34"/>
  <c r="F34"/>
  <c r="P33"/>
  <c r="H33"/>
  <c r="G33"/>
  <c r="F33"/>
  <c r="P32"/>
  <c r="H32"/>
  <c r="G32"/>
  <c r="F32"/>
  <c r="P31"/>
  <c r="H31"/>
  <c r="G31"/>
  <c r="F31"/>
  <c r="P30"/>
  <c r="H30"/>
  <c r="G30"/>
  <c r="F30"/>
  <c r="P29"/>
  <c r="H29"/>
  <c r="G29"/>
  <c r="F29"/>
  <c r="P28"/>
  <c r="H28"/>
  <c r="G28"/>
  <c r="F28"/>
  <c r="P27"/>
  <c r="H27"/>
  <c r="G27"/>
  <c r="F27"/>
  <c r="P26"/>
  <c r="H26"/>
  <c r="G26"/>
  <c r="F26"/>
  <c r="P25"/>
  <c r="H25"/>
  <c r="G25"/>
  <c r="F25"/>
  <c r="P24"/>
  <c r="H24"/>
  <c r="G24"/>
  <c r="F24"/>
  <c r="P23"/>
  <c r="H23"/>
  <c r="G23"/>
  <c r="F23"/>
  <c r="P22"/>
  <c r="H22"/>
  <c r="G22"/>
  <c r="F22"/>
  <c r="P21"/>
  <c r="H21"/>
  <c r="G21"/>
  <c r="F21"/>
  <c r="P20"/>
  <c r="H20"/>
  <c r="G20"/>
  <c r="F20"/>
  <c r="P19"/>
  <c r="H19"/>
  <c r="G19"/>
  <c r="F19"/>
  <c r="P18"/>
  <c r="H18"/>
  <c r="G18"/>
  <c r="F18"/>
  <c r="P17"/>
  <c r="H17"/>
  <c r="G17"/>
  <c r="F17"/>
  <c r="P16"/>
  <c r="H16"/>
  <c r="G16"/>
  <c r="F16"/>
  <c r="P15"/>
  <c r="H15"/>
  <c r="G15"/>
  <c r="F15"/>
  <c r="P14"/>
  <c r="H14"/>
  <c r="G14"/>
  <c r="F14"/>
  <c r="P13"/>
  <c r="H13"/>
  <c r="G13"/>
  <c r="F13"/>
  <c r="P12"/>
  <c r="H12"/>
  <c r="G12"/>
  <c r="F12"/>
  <c r="P11"/>
  <c r="H11"/>
  <c r="G11"/>
  <c r="F11"/>
  <c r="P10"/>
  <c r="H10"/>
  <c r="G10"/>
  <c r="F10"/>
  <c r="P9"/>
  <c r="H9"/>
  <c r="G9"/>
  <c r="A4"/>
  <c r="E66" i="5"/>
  <c r="D66"/>
  <c r="C66"/>
  <c r="E65"/>
  <c r="D65"/>
  <c r="C65"/>
  <c r="E64"/>
  <c r="D64"/>
  <c r="C64"/>
  <c r="F63"/>
  <c r="E63"/>
  <c r="D63"/>
  <c r="C63"/>
  <c r="E61"/>
  <c r="D61"/>
  <c r="C61"/>
  <c r="F60"/>
  <c r="E58"/>
  <c r="F57"/>
  <c r="E55"/>
  <c r="D55"/>
  <c r="C55"/>
  <c r="F54"/>
  <c r="E52"/>
  <c r="D52"/>
  <c r="C52"/>
  <c r="F51"/>
  <c r="E49"/>
  <c r="D49"/>
  <c r="C49"/>
  <c r="F48"/>
  <c r="E46"/>
  <c r="D46"/>
  <c r="C46"/>
  <c r="F45"/>
  <c r="E43"/>
  <c r="D43"/>
  <c r="C43"/>
  <c r="F42"/>
  <c r="E40"/>
  <c r="D40"/>
  <c r="C40"/>
  <c r="F39"/>
  <c r="E37"/>
  <c r="D37"/>
  <c r="C37"/>
  <c r="F36"/>
  <c r="D34"/>
  <c r="C34"/>
  <c r="F33"/>
  <c r="E31"/>
  <c r="D31"/>
  <c r="C31"/>
  <c r="F30"/>
  <c r="D28"/>
  <c r="C28"/>
  <c r="F27"/>
  <c r="D25"/>
  <c r="C25"/>
  <c r="F24"/>
  <c r="E22"/>
  <c r="D22"/>
  <c r="C22"/>
  <c r="F21"/>
  <c r="E19"/>
  <c r="D19"/>
  <c r="C19"/>
  <c r="F18"/>
  <c r="E16"/>
  <c r="D16"/>
  <c r="C16"/>
  <c r="F15"/>
  <c r="E13"/>
  <c r="D13"/>
  <c r="C13"/>
  <c r="F12"/>
  <c r="E10"/>
  <c r="C10"/>
  <c r="F9"/>
  <c r="A5"/>
  <c r="A3"/>
  <c r="F211" i="1"/>
  <c r="I209"/>
  <c r="F209"/>
  <c r="F208"/>
  <c r="H207"/>
  <c r="G207"/>
  <c r="F207"/>
  <c r="A207"/>
  <c r="G206"/>
  <c r="H204"/>
  <c r="F204"/>
  <c r="I203"/>
  <c r="H203"/>
  <c r="F203"/>
  <c r="G201"/>
  <c r="F201"/>
  <c r="A201"/>
  <c r="G200"/>
  <c r="F200"/>
  <c r="A200"/>
  <c r="G199"/>
  <c r="G197"/>
  <c r="E197"/>
  <c r="G196"/>
  <c r="E196"/>
  <c r="G195"/>
  <c r="E195"/>
  <c r="G194"/>
  <c r="E194"/>
  <c r="G193"/>
  <c r="E193"/>
  <c r="G192"/>
  <c r="E192"/>
  <c r="G191"/>
  <c r="G189"/>
  <c r="F189"/>
  <c r="E189"/>
  <c r="A189"/>
  <c r="G188"/>
  <c r="G187"/>
  <c r="G186"/>
  <c r="E186"/>
  <c r="G185"/>
  <c r="E185"/>
  <c r="G184"/>
  <c r="E184"/>
  <c r="G183"/>
  <c r="F183"/>
  <c r="A183"/>
  <c r="G182"/>
  <c r="F182"/>
  <c r="A182"/>
  <c r="G181"/>
  <c r="G180"/>
  <c r="G178"/>
  <c r="F178"/>
  <c r="E178"/>
  <c r="A178"/>
  <c r="G177"/>
  <c r="F177"/>
  <c r="E177"/>
  <c r="A177"/>
  <c r="G176"/>
  <c r="G174"/>
  <c r="G173"/>
  <c r="G172"/>
  <c r="G171"/>
  <c r="G170"/>
  <c r="G169"/>
  <c r="G168"/>
  <c r="F168"/>
  <c r="A168"/>
  <c r="G167"/>
  <c r="F167"/>
  <c r="A167"/>
  <c r="G166"/>
  <c r="F166"/>
  <c r="A166"/>
  <c r="G165"/>
  <c r="F165"/>
  <c r="A165"/>
  <c r="G164"/>
  <c r="F164"/>
  <c r="A164"/>
  <c r="G163"/>
  <c r="F163"/>
  <c r="A163"/>
  <c r="G162"/>
  <c r="F162"/>
  <c r="A162"/>
  <c r="G161"/>
  <c r="F161"/>
  <c r="A161"/>
  <c r="G160"/>
  <c r="F160"/>
  <c r="A160"/>
  <c r="G159"/>
  <c r="G158"/>
  <c r="G157"/>
  <c r="G155"/>
  <c r="F155"/>
  <c r="A155"/>
  <c r="G154"/>
  <c r="F154"/>
  <c r="A154"/>
  <c r="G153"/>
  <c r="F153"/>
  <c r="A153"/>
  <c r="G152"/>
  <c r="F152"/>
  <c r="A152"/>
  <c r="G151"/>
  <c r="G150"/>
  <c r="G149"/>
  <c r="G148"/>
  <c r="G147"/>
  <c r="G146"/>
  <c r="G145"/>
  <c r="G143"/>
  <c r="F143"/>
  <c r="A143"/>
  <c r="G142"/>
  <c r="F142"/>
  <c r="A142"/>
  <c r="G141"/>
  <c r="G139"/>
  <c r="G138"/>
  <c r="G137"/>
  <c r="G136"/>
  <c r="G135"/>
  <c r="G134"/>
  <c r="G132"/>
  <c r="G131"/>
  <c r="G130"/>
  <c r="G129"/>
  <c r="G128"/>
  <c r="F128"/>
  <c r="A128"/>
  <c r="G127"/>
  <c r="G126"/>
  <c r="G125"/>
  <c r="G124"/>
  <c r="G123"/>
  <c r="G122"/>
  <c r="G121"/>
  <c r="G119"/>
  <c r="G118"/>
  <c r="G117"/>
  <c r="G116"/>
  <c r="G115"/>
  <c r="G114"/>
  <c r="G113"/>
  <c r="G112"/>
  <c r="G111"/>
  <c r="G110"/>
  <c r="G109"/>
  <c r="C109"/>
  <c r="A109"/>
  <c r="G108"/>
  <c r="F108"/>
  <c r="C108"/>
  <c r="A108"/>
  <c r="G107"/>
  <c r="F107"/>
  <c r="A107"/>
  <c r="G105"/>
  <c r="G103"/>
  <c r="F103"/>
  <c r="E103"/>
  <c r="A103"/>
  <c r="G102"/>
  <c r="E102"/>
  <c r="G101"/>
  <c r="E101"/>
  <c r="G100"/>
  <c r="E100"/>
  <c r="G99"/>
  <c r="E99"/>
  <c r="G98"/>
  <c r="E98"/>
  <c r="G97"/>
  <c r="E97"/>
  <c r="G96"/>
  <c r="G94"/>
  <c r="E94"/>
  <c r="G93"/>
  <c r="E93"/>
  <c r="G92"/>
  <c r="E92"/>
  <c r="G91"/>
  <c r="F91"/>
  <c r="E91"/>
  <c r="A91"/>
  <c r="G90"/>
  <c r="F90"/>
  <c r="E90"/>
  <c r="A90"/>
  <c r="G89"/>
  <c r="E89"/>
  <c r="G88"/>
  <c r="E88"/>
  <c r="G87"/>
  <c r="E87"/>
  <c r="G86"/>
  <c r="G84"/>
  <c r="E84"/>
  <c r="G81"/>
  <c r="E81"/>
  <c r="G80"/>
  <c r="E80"/>
  <c r="G78"/>
  <c r="G76"/>
  <c r="F76"/>
  <c r="E76"/>
  <c r="A76"/>
  <c r="G75"/>
  <c r="E75"/>
  <c r="G74"/>
  <c r="G72"/>
  <c r="G71"/>
  <c r="E71"/>
  <c r="G70"/>
  <c r="E70"/>
  <c r="G69"/>
  <c r="E69"/>
  <c r="G66"/>
  <c r="E66"/>
  <c r="G65"/>
  <c r="F65"/>
  <c r="A65"/>
  <c r="G64"/>
  <c r="G63"/>
  <c r="G61"/>
  <c r="G59"/>
  <c r="F59"/>
  <c r="E59"/>
  <c r="A59"/>
  <c r="G58"/>
  <c r="G56"/>
  <c r="E56"/>
  <c r="G55"/>
  <c r="E55"/>
  <c r="G54"/>
  <c r="E54"/>
  <c r="G53"/>
  <c r="E53"/>
  <c r="G52"/>
  <c r="E52"/>
  <c r="G51"/>
  <c r="E51"/>
  <c r="G50"/>
  <c r="E50"/>
  <c r="G49"/>
  <c r="F49"/>
  <c r="E49"/>
  <c r="A49"/>
  <c r="G47"/>
  <c r="G45"/>
  <c r="E45"/>
  <c r="G44"/>
  <c r="E44"/>
  <c r="G43"/>
  <c r="E43"/>
  <c r="G42"/>
  <c r="E42"/>
  <c r="G41"/>
  <c r="G39"/>
  <c r="E39"/>
  <c r="G38"/>
  <c r="E38"/>
  <c r="G37"/>
  <c r="G35"/>
  <c r="F35"/>
  <c r="C35"/>
  <c r="A35"/>
  <c r="G34"/>
  <c r="F34"/>
  <c r="A34"/>
  <c r="G33"/>
  <c r="E33"/>
  <c r="G32"/>
  <c r="E32"/>
  <c r="G31"/>
  <c r="E31"/>
  <c r="G30"/>
  <c r="E30"/>
  <c r="G29"/>
  <c r="E29"/>
  <c r="G28"/>
  <c r="E28"/>
  <c r="G27"/>
  <c r="E27"/>
  <c r="G26"/>
  <c r="E26"/>
  <c r="G25"/>
  <c r="G23"/>
  <c r="E23"/>
  <c r="G22"/>
  <c r="E22"/>
  <c r="G21"/>
  <c r="E21"/>
  <c r="G18"/>
  <c r="G17"/>
  <c r="F17"/>
  <c r="A17"/>
  <c r="G16"/>
  <c r="E16"/>
  <c r="G15"/>
  <c r="E15"/>
  <c r="G14"/>
  <c r="E14"/>
  <c r="G13"/>
  <c r="E13"/>
  <c r="G11"/>
  <c r="G83" i="7"/>
  <c r="G148"/>
  <c r="G149"/>
</calcChain>
</file>

<file path=xl/sharedStrings.xml><?xml version="1.0" encoding="utf-8"?>
<sst xmlns="http://schemas.openxmlformats.org/spreadsheetml/2006/main" count="2295" uniqueCount="930">
  <si>
    <t>ANEXO PB III - PLANILHA DE ORÇAMENTO SINTÉTICO</t>
  </si>
  <si>
    <t xml:space="preserve">OBRA: REFORMA DA SEDE DA DEFENSORIA PÚBLICA DO ESTADO DE RORAIMA NO MUNICIPIO DE SÃO LUIZ DO ANAUA - DPE/RR </t>
  </si>
  <si>
    <t>ENDEREÇO: Av. Joao Rodrigues com Rua Dante de Oliveira, Cidade: São Luiz do Anaua/RR</t>
  </si>
  <si>
    <t>BASE: SINAPI RR JUNHO/2017 NÃO DESONERADO</t>
  </si>
  <si>
    <t xml:space="preserve">PRAZO = 90 DIAS </t>
  </si>
  <si>
    <t>CÓDIGO</t>
  </si>
  <si>
    <t>ITEM</t>
  </si>
  <si>
    <t>DESCRIMINAÇÃO DOS SERVIÇOS</t>
  </si>
  <si>
    <t>UND.</t>
  </si>
  <si>
    <t>QUANT.</t>
  </si>
  <si>
    <t>P.UNIT.</t>
  </si>
  <si>
    <t>P.TOTAL</t>
  </si>
  <si>
    <t>SERVIÇOS PRELIMINARES</t>
  </si>
  <si>
    <t>I</t>
  </si>
  <si>
    <t>ITENS INICIAIS</t>
  </si>
  <si>
    <t>74209/001</t>
  </si>
  <si>
    <t>1.1</t>
  </si>
  <si>
    <t>Placa de obra em chapa de aço galvanizado, padrão encaminhando pela Defensoria Publica de Roraima, conforme especificações técnicas.</t>
  </si>
  <si>
    <t>m2</t>
  </si>
  <si>
    <t>1.2</t>
  </si>
  <si>
    <t>Banheiro Provisorio e Vestiario</t>
  </si>
  <si>
    <t>93207</t>
  </si>
  <si>
    <t>1.3</t>
  </si>
  <si>
    <t>Escritorio Provisorio</t>
  </si>
  <si>
    <t>1.4</t>
  </si>
  <si>
    <t>Refeitorio Provisorio</t>
  </si>
  <si>
    <t>1.5</t>
  </si>
  <si>
    <t>Ligação Provisoria de Água</t>
  </si>
  <si>
    <t>und</t>
  </si>
  <si>
    <t>1.6</t>
  </si>
  <si>
    <t>Ligação Provisoria de Energia</t>
  </si>
  <si>
    <t>II</t>
  </si>
  <si>
    <t>LIMPEZA</t>
  </si>
  <si>
    <t>73806/001</t>
  </si>
  <si>
    <t>1.7</t>
  </si>
  <si>
    <t>Limpeza do muro da Comarca</t>
  </si>
  <si>
    <t>1.8</t>
  </si>
  <si>
    <t>Limpeza do Gradil/Portoes da Comarca</t>
  </si>
  <si>
    <t>1.9</t>
  </si>
  <si>
    <t>Limpeza das Telhas fibrocimentas e Cumeeira da Comarca</t>
  </si>
  <si>
    <t>DEMOLIÇÃO/RETIRADA</t>
  </si>
  <si>
    <t>2.1</t>
  </si>
  <si>
    <t>Demolição de Forro de Gesso</t>
  </si>
  <si>
    <t>73899/002</t>
  </si>
  <si>
    <t>2.2</t>
  </si>
  <si>
    <t>Demolição de Alvenaria</t>
  </si>
  <si>
    <t>m3</t>
  </si>
  <si>
    <t>2.3</t>
  </si>
  <si>
    <t>Retirada de Aparelhos Sanitarios (VASSAO SANITÁRIO)</t>
  </si>
  <si>
    <t>2.4</t>
  </si>
  <si>
    <t>Retirada de Aparelhos Sanitarios (PIA)</t>
  </si>
  <si>
    <t>2.5</t>
  </si>
  <si>
    <t>Retirada de Aparelhos Sanitarios (Mictorio)</t>
  </si>
  <si>
    <t>2.6</t>
  </si>
  <si>
    <t>Retirada de fiação eletrica</t>
  </si>
  <si>
    <t>m</t>
  </si>
  <si>
    <t>2.7</t>
  </si>
  <si>
    <t>Remoção de tomadas ou interruptores eletricos</t>
  </si>
  <si>
    <t>2.8</t>
  </si>
  <si>
    <t>Retirada de esquadria Madeira</t>
  </si>
  <si>
    <t>2.9</t>
  </si>
  <si>
    <t>Remoção de Porta e Batente</t>
  </si>
  <si>
    <t>2.10</t>
  </si>
  <si>
    <t>ALVENARIA/DIVISORIA</t>
  </si>
  <si>
    <t>3.1</t>
  </si>
  <si>
    <t>Alvenaria de vedação de blocos cerâmicos furados 9x14x19cm, espessura 14cm, assentado com argamassa de cimento e areia, preparo mecânico em betoneira</t>
  </si>
  <si>
    <t>3.2</t>
  </si>
  <si>
    <t>Divisoria de granito Banheiro</t>
  </si>
  <si>
    <t>REVESTIMENTOS</t>
  </si>
  <si>
    <t>4.1</t>
  </si>
  <si>
    <t>Chapisco aplicado em alvenarias, argamassa traço 1:3 (cimento e areia), aplicado com colher de pedreiro</t>
  </si>
  <si>
    <t>4.2</t>
  </si>
  <si>
    <t>Reboco massa única em alvenaria, vigas e pilares, espessura 20mm, aplicação manual com execução de taliscas, com uso de argamassa cimento, areia e aditivo plastificante</t>
  </si>
  <si>
    <t>4.3</t>
  </si>
  <si>
    <t>Pastilha Banheiro 10x10 PNE cor branco seguindo o modelo das existentes</t>
  </si>
  <si>
    <t>87246</t>
  </si>
  <si>
    <t>4.4</t>
  </si>
  <si>
    <t>Recomposição de cerâmica banheiro (Mesma cor após limpeza com ácido Muriatico e Tamanho das Existentes)</t>
  </si>
  <si>
    <t>PINTURAS</t>
  </si>
  <si>
    <t>REPINTURA DAS PAREDES EXISTENTES</t>
  </si>
  <si>
    <t>5.1</t>
  </si>
  <si>
    <t>Lixamento para retirar tinta existente</t>
  </si>
  <si>
    <t>88485</t>
  </si>
  <si>
    <t>5.2</t>
  </si>
  <si>
    <t xml:space="preserve">Aplicação de Fundo selador acrílico em paredes, uma demão </t>
  </si>
  <si>
    <t>5.3</t>
  </si>
  <si>
    <t>Aplicação e lixamento de massa látex em paredes, duas demãos.</t>
  </si>
  <si>
    <t>88489</t>
  </si>
  <si>
    <t>5.4</t>
  </si>
  <si>
    <t>Aplicação manual de pintura com tinta acrílica em paredes, duas demãos (COR APROVADA pela fiscalização)</t>
  </si>
  <si>
    <t>5.5</t>
  </si>
  <si>
    <t>Pintura do muro, tinta acrilica duas demãos (COR APROVADA pela Fiscalização)</t>
  </si>
  <si>
    <t>74145/001</t>
  </si>
  <si>
    <t>5.6</t>
  </si>
  <si>
    <t>Pintura do Gradil, esmalte fosco, duas demãos  incluso fundo anticorrosivo (COR APROVADA pela fiscalização)</t>
  </si>
  <si>
    <t>73739/001</t>
  </si>
  <si>
    <t>5.7</t>
  </si>
  <si>
    <t>Pintura das novas Janelas (Cor igual a da existente)</t>
  </si>
  <si>
    <t>5.8</t>
  </si>
  <si>
    <t>Pintura da cobertura duas demãos tinta acrilica (COR APROVADA pela Fiscalização)</t>
  </si>
  <si>
    <t>FORRO</t>
  </si>
  <si>
    <t>6.1</t>
  </si>
  <si>
    <t>Forro em modular em pvc 60x120cm, fixação em estrutura indempendente da estrutura da cobertura, caso necessário adotar junta conforme ABNT NBR especifica</t>
  </si>
  <si>
    <t>ESQUADRIAS / VERGA / CONTRAVERGA / FECHADURA</t>
  </si>
  <si>
    <t>PORTAS</t>
  </si>
  <si>
    <t>7.1</t>
  </si>
  <si>
    <t>Tipo P 03  - 0,90x2,10m -tipo abrir ,em madeira revestida em laminado melamínico (Mesmo padrão das existentes), com ferragens e fechadura</t>
  </si>
  <si>
    <t>93188</t>
  </si>
  <si>
    <t>7.2</t>
  </si>
  <si>
    <t>Verga moldada in loco em concreto para portas com até 1,5m de vão</t>
  </si>
  <si>
    <t>7.3</t>
  </si>
  <si>
    <t>Tipo P 01 - Porta de Vidro entrada principal</t>
  </si>
  <si>
    <t>91341</t>
  </si>
  <si>
    <t>7.4</t>
  </si>
  <si>
    <t>Tipo P 04 - Porta Aluminio Banheiro Masculino e Feminino</t>
  </si>
  <si>
    <t>JANELAS</t>
  </si>
  <si>
    <t>7.5</t>
  </si>
  <si>
    <t>Janela Banheiro Masculino (MODELO DAS EXISTENTES)</t>
  </si>
  <si>
    <t>7.6</t>
  </si>
  <si>
    <t>Janela Banheiro PNE (NO MODELO DAS EXISTENTES</t>
  </si>
  <si>
    <t>93186</t>
  </si>
  <si>
    <t>7.7</t>
  </si>
  <si>
    <t>Verga Moldada in loco em Concreto para Janelas com até 1,5m de vão</t>
  </si>
  <si>
    <t>93196</t>
  </si>
  <si>
    <t>7.8</t>
  </si>
  <si>
    <t>Contraverga moldada in loco em concreto para vãos de até 1,50m de comprimento</t>
  </si>
  <si>
    <t>HIDRAULICO</t>
  </si>
  <si>
    <t>89356</t>
  </si>
  <si>
    <t>8.1</t>
  </si>
  <si>
    <t>Tubo PVC 25mm – tipo soldavel com acessorios</t>
  </si>
  <si>
    <t>8.2</t>
  </si>
  <si>
    <t>Limpeza Castelo D'água</t>
  </si>
  <si>
    <t>SANITARIO</t>
  </si>
  <si>
    <t>TUBOS</t>
  </si>
  <si>
    <t>91792</t>
  </si>
  <si>
    <t>9.1</t>
  </si>
  <si>
    <t>Tubo PVC esgoto 40mm – Ponta e Bolsa Lisa, inclusive conexões</t>
  </si>
  <si>
    <t>91795</t>
  </si>
  <si>
    <t>9.2</t>
  </si>
  <si>
    <t>Tubo PVC esgoto 100mm – Ponta e Bolsa Lisa, inclusive conexões</t>
  </si>
  <si>
    <t>CAIXAS SIFONADAS, CAIXAS DE GORDURA,CAIXAS DE  INSPEÇÃO , FOSSA E SUMIDOURO</t>
  </si>
  <si>
    <t>9.3</t>
  </si>
  <si>
    <t>Caixa sifonado c/grelha quadrada</t>
  </si>
  <si>
    <t>LOUÇAS E METAIS</t>
  </si>
  <si>
    <t>86932</t>
  </si>
  <si>
    <t>10.1</t>
  </si>
  <si>
    <t xml:space="preserve">Vaso Sanitário Padrão médio, com Caixa Acoplada </t>
  </si>
  <si>
    <t>74234/001</t>
  </si>
  <si>
    <t>10.2</t>
  </si>
  <si>
    <t>Mictorio</t>
  </si>
  <si>
    <t>10.3</t>
  </si>
  <si>
    <t>Lavatorio padrão médio</t>
  </si>
  <si>
    <t>10.4</t>
  </si>
  <si>
    <t>Lavatório para banheiro PNE , de coluna suspensa-completo com torneira em metal , tipo temporizada , para portadores de necessidades especiais, engate flexivel -malha de aço 1/2x40cm, sifão inox, válvula universal - e 02 barras de apoio – inox diâmetro de 1 ¼” x40cm , inclusive buchas e parafusos de fixação</t>
  </si>
  <si>
    <t>10.5</t>
  </si>
  <si>
    <t>VASO SANITÁRIO com caixa acoplada -refa., para banheiro PNE, completo com 02 barras de apoio, assento plastico, engate flexível malha de aço – 1/2x40cm e parafusos de fixação .</t>
  </si>
  <si>
    <t>10.6</t>
  </si>
  <si>
    <t>Papeleira inox – uma em cada box de vaso sanitário e nos lavatorios</t>
  </si>
  <si>
    <t>10.7</t>
  </si>
  <si>
    <t>Saboneteira para sabão líquido Plastico capac 1000ml  completa - 01 unidade para cada LAVATÓRIO , 01 para cada bancada de 02 cubas e 04 para cada bancada de 05 cubas.</t>
  </si>
  <si>
    <t>10.8</t>
  </si>
  <si>
    <t>Espelho cristal, espessura 4mm, com parafusos de fixação, sem moldura, 50X50cm</t>
  </si>
  <si>
    <t>INCÊNDIO</t>
  </si>
  <si>
    <t>11.1</t>
  </si>
  <si>
    <t>tipo S-3 (130/260MM) – material  PVC- 2mm – fotoluminescente</t>
  </si>
  <si>
    <t>11.2</t>
  </si>
  <si>
    <t>tipo S2-E (130/260MM) – material PVC - 2mm – fotoluminescente</t>
  </si>
  <si>
    <t>11.3</t>
  </si>
  <si>
    <t>tipo S2-D (130/260MM) – material PVC – 2mm – fotoluminescente</t>
  </si>
  <si>
    <t>11.4</t>
  </si>
  <si>
    <t>tipo E-17 (1000/1000MM)- PINTADA NO PISO com tinta epoxi, conforme detalhamento no respectivo projeto</t>
  </si>
  <si>
    <t>37557</t>
  </si>
  <si>
    <t>11.5</t>
  </si>
  <si>
    <t>tipo E-5 ( diâmetro 150MM) – material PVC – 2mm –fotoluminescente</t>
  </si>
  <si>
    <t>83635</t>
  </si>
  <si>
    <t>11.6</t>
  </si>
  <si>
    <t>Extintores tipo Pó ABC (Fabricante ou Distribuidora deve ser credenciado no Corpo de Bombeiro do Estado)</t>
  </si>
  <si>
    <t>11.7</t>
  </si>
  <si>
    <t>Luminaria de Emergencia 60LED</t>
  </si>
  <si>
    <t>ELETRICO</t>
  </si>
  <si>
    <t>PONTOS DE UTILIZAÇÃO</t>
  </si>
  <si>
    <t>12.1</t>
  </si>
  <si>
    <t>Luminária embutir com aletas T8/T10 2x18W LED - fornecimento e instalação.</t>
  </si>
  <si>
    <t>12.2</t>
  </si>
  <si>
    <t>12.3</t>
  </si>
  <si>
    <t>12.4</t>
  </si>
  <si>
    <t>Rele fotoelétrico p/ comando de iluminação externa 220V/100W - fornecimento e instalação</t>
  </si>
  <si>
    <t>12.5</t>
  </si>
  <si>
    <t>Tomada alta de embutir (1 módulo), 2P+T 10 A, incluindo suporte e placa - fornecimento e instalação.</t>
  </si>
  <si>
    <t>12.6</t>
  </si>
  <si>
    <t>Tomada alta de embutir (1 módulo), 2P+T 20 A, incluindo suporte e placa - fornecimento e instalação.</t>
  </si>
  <si>
    <t>12.7</t>
  </si>
  <si>
    <t xml:space="preserve">Tomada média de embutir (1 módulo), 2P+T 10 A, incluindo suporte e placa - fornecimento e instalação. </t>
  </si>
  <si>
    <t>12.8</t>
  </si>
  <si>
    <t xml:space="preserve">Tomada média de embutir (1 módulo), 2P+T 20 A, incluindo suporte e placa - fornecimento e instalação. </t>
  </si>
  <si>
    <t>12.9</t>
  </si>
  <si>
    <t xml:space="preserve">Tomada média de embutir (2 módulos), 2P+T 10 A, incluindo suporte e placa - fornecimento e instalação. </t>
  </si>
  <si>
    <t>12.10</t>
  </si>
  <si>
    <t>Interruptor simples (1 módulo), 10A/250V, incluindo suporte e placa - fornecimento e instalação.</t>
  </si>
  <si>
    <t>12.11</t>
  </si>
  <si>
    <t>Interruptor simples (2 módulos), 10A/250V, incluindo suporte e placa - fornecimento e instalação.</t>
  </si>
  <si>
    <t>12.12</t>
  </si>
  <si>
    <t xml:space="preserve">Tomada baixa de embutir (1 módulo), 2P+T 10 A, incluindo suporte e placa - fornecimento e instalação. </t>
  </si>
  <si>
    <t>12.13</t>
  </si>
  <si>
    <t xml:space="preserve">Tomada baixa de embutir (2 módulos), 2P+T 10 A, incluindo suporte e placa - fornecimento e instalação. </t>
  </si>
  <si>
    <t>ELETRODUTOS E CAIXAS</t>
  </si>
  <si>
    <t>12.14</t>
  </si>
  <si>
    <t xml:space="preserve">Rasgo em alvenaria para eletrodutos com diametros menores ou iguais a 40 mm. </t>
  </si>
  <si>
    <t>12.15</t>
  </si>
  <si>
    <t xml:space="preserve">Chumbamento linear em alvenaria para ramais/distribuição com diâmetros menores ou iguais a 40 mm. </t>
  </si>
  <si>
    <t>12.16</t>
  </si>
  <si>
    <t>Eletroduto flexível corrugado, pvc, dn 25 mm (3/4”), para circuitos terminais, instalado em parede - fornecimento e instalação.</t>
  </si>
  <si>
    <t>12.17</t>
  </si>
  <si>
    <t>Eletroduto flexível corrugado, pvc, dn 25 mm (3/4”), para circuitos terminais, instalado em forro - fornecimento e instalação.</t>
  </si>
  <si>
    <t>12.18</t>
  </si>
  <si>
    <t xml:space="preserve">Eletroduto rígido roscável, pvc, dn 25 mm (3/4), para circuitos terminais, instalado em laje - fornecimento e instalação. </t>
  </si>
  <si>
    <t>12.19</t>
  </si>
  <si>
    <t xml:space="preserve">Eletroduto rígido roscável, pvc, dn 60 mm (2") - fornecimento e instalação. </t>
  </si>
  <si>
    <t>12.20</t>
  </si>
  <si>
    <t xml:space="preserve">Quebra em alvenaria para instalação de caixa de tomada (4x4 ou 4x2) </t>
  </si>
  <si>
    <t>12.21</t>
  </si>
  <si>
    <t xml:space="preserve">Caixa octogonal 4" x 4", pvc, instalada em laje - fornecimento e instalação. </t>
  </si>
  <si>
    <t>12.22</t>
  </si>
  <si>
    <t>Caixa retangular 4” x 2” alta (2 m do piso), pvc, instalada em parede - fornecimento e instalação.</t>
  </si>
  <si>
    <t>und.</t>
  </si>
  <si>
    <t>12.23</t>
  </si>
  <si>
    <t>Caixa retangular 4” x 2” média (1,30 m do piso), pvc, instalada em parede - fornecimento e instalação.</t>
  </si>
  <si>
    <t>12.24</t>
  </si>
  <si>
    <t>Caixa retangular 4” x 2” baixa (0,30 m do piso), pvc, instalada em parede - fornecimento e instalação.</t>
  </si>
  <si>
    <t>12.25</t>
  </si>
  <si>
    <t>Caixa de passagem 50x50x60 fundo brita c/ tampa</t>
  </si>
  <si>
    <t>III</t>
  </si>
  <si>
    <t>CABOS</t>
  </si>
  <si>
    <t>12.26</t>
  </si>
  <si>
    <t xml:space="preserve">Cabo de cobre flexível isolado, 1,5 mm², anti-chama 450/750v, para circuitos terminais - fornecimento e instalação. </t>
  </si>
  <si>
    <t>12.27</t>
  </si>
  <si>
    <t xml:space="preserve">Cabo de cobre flexível isolado, 2,5 mm², anti-chama 450/750v, para circuitos terminais - fornecimento e instalação. </t>
  </si>
  <si>
    <t>12.28</t>
  </si>
  <si>
    <t xml:space="preserve">Cabo de cobre flexível isolado, 4 mm², anti-chama 450/750v, para circuitos terminais - fornecimento e instalação. </t>
  </si>
  <si>
    <t>12.29</t>
  </si>
  <si>
    <t xml:space="preserve">Cabo de cobre flexível isolado, 10 mm², anti-chama 0,6/1,0kv, para distribuição - fornecimento e instalação. </t>
  </si>
  <si>
    <t>12.30</t>
  </si>
  <si>
    <t xml:space="preserve">Cabo de cobre flexível isolado, 25 mm², anti-chama 0,6/1,0kv, para distribuição - fornecimento e instalação. </t>
  </si>
  <si>
    <t>12.31</t>
  </si>
  <si>
    <t xml:space="preserve">Cabo de cobre flexível isolado, 50 mm², anti-chama 0,6/1,0 kv, para distribuição - fornecimento e instalação. </t>
  </si>
  <si>
    <t>ATERRAMENTO</t>
  </si>
  <si>
    <t>12.32</t>
  </si>
  <si>
    <t>Cabo de cobre nu 50mm² - fornecimento e instalacao</t>
  </si>
  <si>
    <t>12.33</t>
  </si>
  <si>
    <t>Haste de aterramento em aco com 2,40 m de comprimento e dn = 5/8", revestida com baixa camada de cobre, com conector - fornecimento e instalação.</t>
  </si>
  <si>
    <t>12.34</t>
  </si>
  <si>
    <t>Caixa inspeção em concreto, com tampa para aterramento diametro = 300 mm - fornecimento e instalação.</t>
  </si>
  <si>
    <t>IV</t>
  </si>
  <si>
    <t>QUADROS</t>
  </si>
  <si>
    <t>74131/004</t>
  </si>
  <si>
    <t>12.35</t>
  </si>
  <si>
    <t>Quadro de distribuicao de energia de embutir, em chapa metalica, para18 disjuntores termomagneticos monopolares, com barramento trifasico e neutro - fornecimento e instalação.</t>
  </si>
  <si>
    <t>74131/006</t>
  </si>
  <si>
    <t>12.36</t>
  </si>
  <si>
    <t>Quadro de distribuicao de energia de embutir, em chapa metalica, para 32 disjuntores termomagneticos monopolares, com barramento trifasico e neutro - fornecimento e instalação</t>
  </si>
  <si>
    <t>12.37</t>
  </si>
  <si>
    <t xml:space="preserve">Disjuntor monopolar tipo DIN, corrente nominal de 10A - fornecimento e instalação. </t>
  </si>
  <si>
    <t>12.38</t>
  </si>
  <si>
    <t xml:space="preserve">Disjuntor monopolar tipo DIN, corrente nominal de 16A - fornecimento e instalação. </t>
  </si>
  <si>
    <t>12.39</t>
  </si>
  <si>
    <t xml:space="preserve">Disjuntor bipolar tipo DIN, corrente nominal de 10A - fornecimento e instalação. </t>
  </si>
  <si>
    <t>12.40</t>
  </si>
  <si>
    <t xml:space="preserve">Disjuntor bipolar tipo DIN, corrente nominal de 16A - fornecimento e instalação. </t>
  </si>
  <si>
    <t>12.41</t>
  </si>
  <si>
    <t xml:space="preserve">Disjuntor tripolar tipo DIN, corrente nominal de 40A - fornecimento e instalação. </t>
  </si>
  <si>
    <t>12.42</t>
  </si>
  <si>
    <t xml:space="preserve">Disjuntor tripolar tipo DIN, corrente nominal de 100A - fornecimento e instalação. </t>
  </si>
  <si>
    <t>12.43</t>
  </si>
  <si>
    <t>Dispositivo DR, bipolar, corrente nominal de 40A, 30mA - fornecimento e instalação.</t>
  </si>
  <si>
    <t>12.44</t>
  </si>
  <si>
    <t>Dispositivo DPS classe II, 1 polo, tensão máxima de 175 V, corrente maxima de 45kA (tipo AC) - fornecimento e instalação.</t>
  </si>
  <si>
    <t>12.45</t>
  </si>
  <si>
    <t>Entrada de energia elétrica aérea trifásica 100 A com poste de concreto, inclusive cabeamento, caixa de proteção para medidor e aterramento.</t>
  </si>
  <si>
    <t>CABEAMENTO ESTRUTURADO (TELEFONE E LÓGICA)</t>
  </si>
  <si>
    <t>13.1</t>
  </si>
  <si>
    <t>13.2</t>
  </si>
  <si>
    <t>13.3</t>
  </si>
  <si>
    <t xml:space="preserve">Tomada média de embutir (1 módulo), RJ-45 Cat5e, incluindo suporte e placa (4" x 2") - fornecimento e instalação.    </t>
  </si>
  <si>
    <t>13.4</t>
  </si>
  <si>
    <t xml:space="preserve">Tomada baixa de embutir (2 módulos), RJ-45 Cat5e, incluindo suporte e placa (4" x 2") - fornecimento e instalação. </t>
  </si>
  <si>
    <t>13.5</t>
  </si>
  <si>
    <t xml:space="preserve">Tomada baixa de embutir (3 módulos), RJ-45 Cat5e, incluindo suporte e placa (4"x4") - fornecimento e instalação.  </t>
  </si>
  <si>
    <t>13.6</t>
  </si>
  <si>
    <t>Eletrocalha Perfurada em Aço Galvanizado 50x50mm, inclusive emenda e fixação, fornecimento e instalação.</t>
  </si>
  <si>
    <t xml:space="preserve">m </t>
  </si>
  <si>
    <t>13.7</t>
  </si>
  <si>
    <t>Tê Horizontal 90̊ para Eletrocalha Perfurada em Aço Galvanizado 50x50mm, fornecimento e instalação.</t>
  </si>
  <si>
    <t>13.8</t>
  </si>
  <si>
    <t>Cotovelo reto 90̊ para Eletrocalha Perfurada em Aço Galvanizado  50x50mm, fornecimento e instalação.</t>
  </si>
  <si>
    <t>13.9</t>
  </si>
  <si>
    <t>Curva de inversão para  Eletrocalha Perfurada em Aço Galvanizado 50x50mm.</t>
  </si>
  <si>
    <t>13.10</t>
  </si>
  <si>
    <t>Terminal para Eletrocalha Perfurada em Aço Galvanizado 50x50mm.</t>
  </si>
  <si>
    <t>13.11</t>
  </si>
  <si>
    <t>Derivação para eletroduto 3/4" para Eletrocalha Perfurada em Aço Galvanizado.</t>
  </si>
  <si>
    <t>13.12</t>
  </si>
  <si>
    <t>13.13</t>
  </si>
  <si>
    <t>13.14</t>
  </si>
  <si>
    <t>Eletroduto de aço galvanizado, classe leve, dn 20 mm (3/4"), aparente, instalado em teto - fornecimento e instalação.</t>
  </si>
  <si>
    <t>13.15</t>
  </si>
  <si>
    <t>13.16</t>
  </si>
  <si>
    <t>Eletroduto rígido roscável, pvc, dn 60 mm (2") - fornecimento e instalação.</t>
  </si>
  <si>
    <t>73749/001</t>
  </si>
  <si>
    <t>13.17</t>
  </si>
  <si>
    <t>Caixa enterrada para instalações telefônicas tipo R1 0,60x0,35x0,50m em blocos de concreto estrutural</t>
  </si>
  <si>
    <t>ACESSIBILIDADE</t>
  </si>
  <si>
    <t>14.1</t>
  </si>
  <si>
    <t>Fornecimento e assentamento de piso tátil DIRECIONAL –ÁREA INTERNA - 25x25 cm</t>
  </si>
  <si>
    <t>14.2</t>
  </si>
  <si>
    <t>Fornecimento e assentamento de piso tátil ALERTA  –ÁREA INTERNA – 25x25 cm</t>
  </si>
  <si>
    <t>DIVERSOS</t>
  </si>
  <si>
    <t>15.1</t>
  </si>
  <si>
    <t>Poda de Árvores</t>
  </si>
  <si>
    <t>15.2</t>
  </si>
  <si>
    <t>Ligação Definitiva de Água</t>
  </si>
  <si>
    <t>15.3</t>
  </si>
  <si>
    <t>Ligação Definitiva de Energia</t>
  </si>
  <si>
    <t>15.4</t>
  </si>
  <si>
    <t>Limpeza final da obra</t>
  </si>
  <si>
    <t>15.5</t>
  </si>
  <si>
    <t>Limpeza final das pastilhas do banheiro</t>
  </si>
  <si>
    <t>73948/011</t>
  </si>
  <si>
    <t>15.6</t>
  </si>
  <si>
    <t>Limpeza do revestimento cerâmico com Ácido Muriatico</t>
  </si>
  <si>
    <t>15.7</t>
  </si>
  <si>
    <t>Placas de identificação das salas, em acrílico, medindo 25x8 cm – espessura de 2mm</t>
  </si>
  <si>
    <t>15.8</t>
  </si>
  <si>
    <t>Placa inauguração (Informações e Modelo serão fornecido pela DEFENSORIA)</t>
  </si>
  <si>
    <t xml:space="preserve">Todas as informações necessárias de definição de itens, cores e outros itens com a Defensoria deve ser feito com no minimo 20dias e esse prazo não deve ser repassado para o cronograma </t>
  </si>
  <si>
    <t>15.9</t>
  </si>
  <si>
    <t>Rampeado entrada principal Cimento Branco</t>
  </si>
  <si>
    <t>BASE E ABRIGO PARA QUADRO GERADOR</t>
  </si>
  <si>
    <t>16.1</t>
  </si>
  <si>
    <t>Casa para quadro de transferência</t>
  </si>
  <si>
    <t>16.2</t>
  </si>
  <si>
    <t>Piso casa do Gerador</t>
  </si>
  <si>
    <t>16.3</t>
  </si>
  <si>
    <t>Estrutura de cobertura</t>
  </si>
  <si>
    <t>16.4</t>
  </si>
  <si>
    <t>Telha Fibrocimento</t>
  </si>
  <si>
    <t>16.5</t>
  </si>
  <si>
    <t xml:space="preserve">Base para gerador, concreto moldado in loco, espessura de 15cm. </t>
  </si>
  <si>
    <t>16.6</t>
  </si>
  <si>
    <t>Ferragem base do gerador</t>
  </si>
  <si>
    <t xml:space="preserve"> DESPESAS INDIRETAS DA OBRA</t>
  </si>
  <si>
    <t>17.1</t>
  </si>
  <si>
    <t>Despesas de transporte de materiais p/ o canteiro</t>
  </si>
  <si>
    <t>17.2</t>
  </si>
  <si>
    <t>Administração local da obra</t>
  </si>
  <si>
    <t>CUSTO TOTAL</t>
  </si>
  <si>
    <t>PREÇO TOTAL (BDI 26,24%)</t>
  </si>
  <si>
    <t>Equipamentos</t>
  </si>
  <si>
    <t>18.1</t>
  </si>
  <si>
    <t>Grupo Gerador, a diesesl, montado em contêiner, silenciado com potência mínima de 53/48 KVA - 42/38 kWe (Emergência / Principal), trifásico, com fator de potência 0,8, na tensão de 220 /127 V, 60Hz, ligado à rede de energia elétrica do prédio através de chave de transferência automática.</t>
  </si>
  <si>
    <t>PREÇO TOTAL (BDI DIFERENCIADO 15,28%)</t>
  </si>
  <si>
    <t>OBSERVAÇÕES:                                                                                                                                                                                                                                    1 - Os serviços de despesas indiretas da obra devem ser medidos e pagos conforme o pecentual de execução da obra e deve ser mostrado no boletim de medição.</t>
  </si>
  <si>
    <t>ANEXO PB IV - CRONOGRAMA FÍSICO-FINANCEIRO</t>
  </si>
  <si>
    <t>SERVIÇOS</t>
  </si>
  <si>
    <t>30D</t>
  </si>
  <si>
    <t>60D</t>
  </si>
  <si>
    <t>90D</t>
  </si>
  <si>
    <t>TOTAL</t>
  </si>
  <si>
    <t xml:space="preserve"> </t>
  </si>
  <si>
    <t>BASE E ABRIGO GRUPO GERADOR</t>
  </si>
  <si>
    <t>GERADOR</t>
  </si>
  <si>
    <t>PERCENTUAL SIMPLES</t>
  </si>
  <si>
    <t>PERCENTUAL ACUMULADO</t>
  </si>
  <si>
    <t>TOTAL SIMPLES</t>
  </si>
  <si>
    <t>TOTAL ACUMULADO</t>
  </si>
  <si>
    <t>OBSERVAÇÃO:</t>
  </si>
  <si>
    <t>ANEXO PB V -  CURVA ABC DOS PREÇOS</t>
  </si>
  <si>
    <t>PREÇO (R$)</t>
  </si>
  <si>
    <t>PART. (%)</t>
  </si>
  <si>
    <t>PART. ACUM. (%)</t>
  </si>
  <si>
    <t>COTAÇÃO 017</t>
  </si>
  <si>
    <t>FAIXA A</t>
  </si>
  <si>
    <t>COMP. 35 - DPE</t>
  </si>
  <si>
    <t>COMP. 05 - DPE</t>
  </si>
  <si>
    <t>COMP. 11 - DPE</t>
  </si>
  <si>
    <t>COMP. 06 -DPE</t>
  </si>
  <si>
    <t>COMP. 13 - DPE</t>
  </si>
  <si>
    <t>Reator para lâmpada vapor metalico até 400 w, alto fator de potencia, uso externo - fornecimento e instalação</t>
  </si>
  <si>
    <t>COMP. 30 - DPE</t>
  </si>
  <si>
    <t>FAIXA B</t>
  </si>
  <si>
    <t>COMP. 04 - DPE</t>
  </si>
  <si>
    <t>COMP. 20 - DPE</t>
  </si>
  <si>
    <t>COMP. 08 - DPE</t>
  </si>
  <si>
    <t>COMP. 09 - DPE</t>
  </si>
  <si>
    <t>COMP. 34 - DPE</t>
  </si>
  <si>
    <t>COMP. 12 - DPE</t>
  </si>
  <si>
    <t>Lâmpada multivapor metálico 150 W ovóide para uso na horizontal - fornecimento e instalação</t>
  </si>
  <si>
    <t>COMP. 14 - DPE</t>
  </si>
  <si>
    <t>COMP. 10 - DPE</t>
  </si>
  <si>
    <t>COMP. 23- DPE</t>
  </si>
  <si>
    <t>FAIXA C</t>
  </si>
  <si>
    <t>COMP. 15 - DPE</t>
  </si>
  <si>
    <t>COMP. 24 - DPE</t>
  </si>
  <si>
    <t>COMP. 16 - DPE</t>
  </si>
  <si>
    <t>COMP. 19 - DPE</t>
  </si>
  <si>
    <t>COMP. 03 - DPE</t>
  </si>
  <si>
    <t>Remoção de Poste e Transformador</t>
  </si>
  <si>
    <t>COMP. 18 - DPE</t>
  </si>
  <si>
    <t>COMP. 01 - DPE</t>
  </si>
  <si>
    <t>COMP. 22 - DPE</t>
  </si>
  <si>
    <t>COMP. 02 - DPE</t>
  </si>
  <si>
    <t>COMP. 17 - DPE</t>
  </si>
  <si>
    <t>COMP. 29 - DPE</t>
  </si>
  <si>
    <t>COMP. 25 - DPE</t>
  </si>
  <si>
    <t>COMP. 26 - DPE</t>
  </si>
  <si>
    <t>COMP. 33 - DPE</t>
  </si>
  <si>
    <t>COMP. 07 - DPE</t>
  </si>
  <si>
    <t>COMP. 21 - DPE</t>
  </si>
  <si>
    <t>COMP. 28 - DPE</t>
  </si>
  <si>
    <t>COMP. 31 - DPE</t>
  </si>
  <si>
    <t>COMP. 32 - DPE</t>
  </si>
  <si>
    <t>COMP. 27 - DPE</t>
  </si>
  <si>
    <t>ANEXO PB VI  -  MEMÓRIA DE CÁLCULO DOS QUANTITATIVOS</t>
  </si>
  <si>
    <t>0 - DADOS DA OBRA</t>
  </si>
  <si>
    <t>DISCRIMINAÇÃO</t>
  </si>
  <si>
    <t>AREA</t>
  </si>
  <si>
    <t>AREA CONSTRUIDA</t>
  </si>
  <si>
    <t>AREA TOTAL</t>
  </si>
  <si>
    <t>ÁREA DE COBERTURA</t>
  </si>
  <si>
    <t>ÁREA DE PISO</t>
  </si>
  <si>
    <t>1 - ITENS INICIAIS (M²)</t>
  </si>
  <si>
    <t>COMPRIM.</t>
  </si>
  <si>
    <t>ALTURA</t>
  </si>
  <si>
    <t>PLACA DA OBRA</t>
  </si>
  <si>
    <t>BANHEIRO PROVISORIO E VESTIARIO</t>
  </si>
  <si>
    <t>ESCRITORIO PROVISORIO</t>
  </si>
  <si>
    <t>REFEITORIO PROVISORIO</t>
  </si>
  <si>
    <t>2 - DEMOLIÇÃO/RETIRADA  (M²)</t>
  </si>
  <si>
    <t>DEMOLIÇÃO FORRO GESSO</t>
  </si>
  <si>
    <t>GABINETE 01</t>
  </si>
  <si>
    <t>W.C. 01</t>
  </si>
  <si>
    <t>ASSESSORIA 01</t>
  </si>
  <si>
    <t>GABINETE 02</t>
  </si>
  <si>
    <t>W.C. 02</t>
  </si>
  <si>
    <t>ASSESSORIA 02</t>
  </si>
  <si>
    <t>GABINETE 03</t>
  </si>
  <si>
    <t>W.C. 03</t>
  </si>
  <si>
    <t>CORREDOR</t>
  </si>
  <si>
    <t>ALMOXARIFADO</t>
  </si>
  <si>
    <t>RECEPÇÃO</t>
  </si>
  <si>
    <t>COZINHA</t>
  </si>
  <si>
    <t>W.C. 04</t>
  </si>
  <si>
    <t>W.C. 05</t>
  </si>
  <si>
    <t>PNE</t>
  </si>
  <si>
    <t>WALL DE ENTRADA</t>
  </si>
  <si>
    <t>DEMOLIÇÃO DE ALVENARIA</t>
  </si>
  <si>
    <t>LARGURA</t>
  </si>
  <si>
    <t>COMPRIMENTO</t>
  </si>
  <si>
    <t>DIVISORIA DO BANHEIRO MASCULINO</t>
  </si>
  <si>
    <t>DIVISORIA DO BANHEIRO FEMININO</t>
  </si>
  <si>
    <t>JANELA</t>
  </si>
  <si>
    <t>RETIRADA DE APARELHOS SANITÁRIOS</t>
  </si>
  <si>
    <t>MICTORIO</t>
  </si>
  <si>
    <t>VASSO</t>
  </si>
  <si>
    <t>PIA</t>
  </si>
  <si>
    <t>W.C.01</t>
  </si>
  <si>
    <t>W.C.02</t>
  </si>
  <si>
    <t>W.C.03</t>
  </si>
  <si>
    <t>W.C.04</t>
  </si>
  <si>
    <t>W.C.05</t>
  </si>
  <si>
    <t>RETIRADA DE FIAÇÃO</t>
  </si>
  <si>
    <t>PONTOS</t>
  </si>
  <si>
    <t>METROS</t>
  </si>
  <si>
    <t>ILUMINAÇÃO</t>
  </si>
  <si>
    <t>TOMADA REDE</t>
  </si>
  <si>
    <t>TOMADA BAIXA</t>
  </si>
  <si>
    <t>TOMADA MEDIA</t>
  </si>
  <si>
    <t>INTERRUPTOR</t>
  </si>
  <si>
    <t>RETIRADA DE INTERRUPTOR/TOMADAS</t>
  </si>
  <si>
    <t>RETIRADA DE JANELA</t>
  </si>
  <si>
    <t>3 - ALVENARIA (M²)</t>
  </si>
  <si>
    <t>DESCONTO</t>
  </si>
  <si>
    <t>ALVENARIA DE VEDAÇÃO</t>
  </si>
  <si>
    <t>DIVISORIA GRANITO MASCULINO</t>
  </si>
  <si>
    <t>DIVISORIA GRANITO FEMININO</t>
  </si>
  <si>
    <t>4 - REVESTIMENTOS (M²)</t>
  </si>
  <si>
    <t>LADOS</t>
  </si>
  <si>
    <t>DESCONTOS</t>
  </si>
  <si>
    <t>CHAPISCO</t>
  </si>
  <si>
    <t>REBOCO</t>
  </si>
  <si>
    <t>PASTILHA REVESTIMENTO PAREDE BANHEIRO</t>
  </si>
  <si>
    <t>RECOMPOSIÇÃO DE REVESTIMENTO CERÂMICO PNE E FEMININO</t>
  </si>
  <si>
    <t>5 - PINTURA(M²)</t>
  </si>
  <si>
    <t>EXTERNO</t>
  </si>
  <si>
    <t>P1</t>
  </si>
  <si>
    <t>P2</t>
  </si>
  <si>
    <t>P3</t>
  </si>
  <si>
    <t>P4</t>
  </si>
  <si>
    <t>P5</t>
  </si>
  <si>
    <t>P6</t>
  </si>
  <si>
    <t>P7</t>
  </si>
  <si>
    <t>P8</t>
  </si>
  <si>
    <t>PILAR</t>
  </si>
  <si>
    <t>MURO</t>
  </si>
  <si>
    <t>M1</t>
  </si>
  <si>
    <t>M2</t>
  </si>
  <si>
    <t>M3</t>
  </si>
  <si>
    <t>M4</t>
  </si>
  <si>
    <t>M5</t>
  </si>
  <si>
    <t>GRADIL</t>
  </si>
  <si>
    <t>Porcentagem do Gradil</t>
  </si>
  <si>
    <t>Portão Grande</t>
  </si>
  <si>
    <t>Portao Pequeno</t>
  </si>
  <si>
    <t>INTERNO</t>
  </si>
  <si>
    <t>PORTAS / JANELAS</t>
  </si>
  <si>
    <t>PASTILHAS</t>
  </si>
  <si>
    <t>Gabinete 01</t>
  </si>
  <si>
    <t>Assessoria GAB. 01</t>
  </si>
  <si>
    <t>Gabinete 02</t>
  </si>
  <si>
    <t>Assessoria GAB. 02</t>
  </si>
  <si>
    <t>Gabinete 03</t>
  </si>
  <si>
    <t>Almoxarifado</t>
  </si>
  <si>
    <t>Corredor</t>
  </si>
  <si>
    <t>Recepção</t>
  </si>
  <si>
    <t>Cozinha</t>
  </si>
  <si>
    <t>P.N.E.</t>
  </si>
  <si>
    <t>LIXAMENTO DE PINTURA</t>
  </si>
  <si>
    <t>IGUAL PINTURA - AREA ALVENARIA</t>
  </si>
  <si>
    <t>6 - FORRO</t>
  </si>
  <si>
    <t>ÁREA</t>
  </si>
  <si>
    <t>7 - ESQUADRIAS/VERGAS/CONTRAVERGA (M²)</t>
  </si>
  <si>
    <t>PORTA PNE</t>
  </si>
  <si>
    <t>PORTA VIDRO</t>
  </si>
  <si>
    <t>PORTA BANHEIRO FEMININO</t>
  </si>
  <si>
    <t>PORTA BANHEIRO MASCULINO</t>
  </si>
  <si>
    <t>QUANTIDADE</t>
  </si>
  <si>
    <t>VERGA PORTA</t>
  </si>
  <si>
    <t>JANELA PNE</t>
  </si>
  <si>
    <t>JANELA BANHEIRO MASCULINO</t>
  </si>
  <si>
    <t>VERGA PORTA E CONTRAVERGA</t>
  </si>
  <si>
    <t>ÁREA TOTAL</t>
  </si>
  <si>
    <t>8 - HIDRAULICA</t>
  </si>
  <si>
    <t>TUBULAÇÃO PVC 25mm</t>
  </si>
  <si>
    <t>RETIRADO PROJETO</t>
  </si>
  <si>
    <t>ACESSORIOS</t>
  </si>
  <si>
    <t>UNIDADE</t>
  </si>
  <si>
    <t>LIMPEZA CASTELO D'ÁGUA</t>
  </si>
  <si>
    <t>9 - SANITARIO (M²)</t>
  </si>
  <si>
    <t>TUBULAÇÃO DE 40MM</t>
  </si>
  <si>
    <t>TUBULAÇÃO DE 100MM</t>
  </si>
  <si>
    <t>CAIXAS SINFONADAS</t>
  </si>
  <si>
    <t>10 - LOUÇAS E METAIS (M²)</t>
  </si>
  <si>
    <t>LAVATORIO PADRÃO MEDIO</t>
  </si>
  <si>
    <t>LAVATORIO PNE</t>
  </si>
  <si>
    <t>VASO SANITÁRIO</t>
  </si>
  <si>
    <t>SABONETEIRA</t>
  </si>
  <si>
    <t>PAPELEIRA INOX</t>
  </si>
  <si>
    <t>11 - INCENDIO</t>
  </si>
  <si>
    <t>PLACA S-3</t>
  </si>
  <si>
    <t>PLACA S2-E</t>
  </si>
  <si>
    <t>PLACA S2-D</t>
  </si>
  <si>
    <t>TIPO E-17</t>
  </si>
  <si>
    <t>PLACA  E-5</t>
  </si>
  <si>
    <t>EXTINTORES PO ABC</t>
  </si>
  <si>
    <t>LUMINARIA DE EMERGÊNCIA</t>
  </si>
  <si>
    <t>12 - ELETRICO</t>
  </si>
  <si>
    <t>12.1 RASGO 40mm²</t>
  </si>
  <si>
    <t>Quant.</t>
  </si>
  <si>
    <t>Comp.</t>
  </si>
  <si>
    <t>Total</t>
  </si>
  <si>
    <t>TOMADA ALTA</t>
  </si>
  <si>
    <t>TOMADA MÉDIA/INTERRUPTOR</t>
  </si>
  <si>
    <t>DESCIDA PARA QUADRO</t>
  </si>
  <si>
    <t>13 - CABEAMENTO ESTRUTURADO</t>
  </si>
  <si>
    <t>TOMADA MÉDIA</t>
  </si>
  <si>
    <t>14 - ACESSIBILIDADE</t>
  </si>
  <si>
    <t>AREA UNID</t>
  </si>
  <si>
    <t>15 - BASE E ABRIGO PARA GERADOR E QUADRO DE TRANSFERENCIA</t>
  </si>
  <si>
    <t>altura</t>
  </si>
  <si>
    <t>largura</t>
  </si>
  <si>
    <t>Area (m²)</t>
  </si>
  <si>
    <t>Volume</t>
  </si>
  <si>
    <t>Casa Gerador</t>
  </si>
  <si>
    <t>Piso Casa Gerador</t>
  </si>
  <si>
    <t>Estrutura Cobertura e Telha</t>
  </si>
  <si>
    <t>Piso base gerador</t>
  </si>
  <si>
    <t>16 - DIVERSOS</t>
  </si>
  <si>
    <t>COMP.</t>
  </si>
  <si>
    <t>DESC.</t>
  </si>
  <si>
    <t>P.N.E</t>
  </si>
  <si>
    <t>2 - TRANSPORTE DE MATERIAL</t>
  </si>
  <si>
    <t>DISCRIMINAÇÃO (UNIDADE)</t>
  </si>
  <si>
    <t>COMPOSI.</t>
  </si>
  <si>
    <t>CONSUMO</t>
  </si>
  <si>
    <t>PESO ESPECÍF. (KG/UND)</t>
  </si>
  <si>
    <t>PESO TOTAL (TON)</t>
  </si>
  <si>
    <t>PLACA DE MODULAR EM PVC</t>
  </si>
  <si>
    <t>3KG/m²</t>
  </si>
  <si>
    <t>MASSA CORRIDA</t>
  </si>
  <si>
    <t>31,45Kg/Unid</t>
  </si>
  <si>
    <t>TINTAS</t>
  </si>
  <si>
    <t>1,14Kg/l</t>
  </si>
  <si>
    <t>GRANITO</t>
  </si>
  <si>
    <t>3000KG/M3</t>
  </si>
  <si>
    <t>ÁCIDO MURIATICO</t>
  </si>
  <si>
    <t>1,19KG/L</t>
  </si>
  <si>
    <t>COLUNA + LAVATORIO</t>
  </si>
  <si>
    <t>20KG/UND</t>
  </si>
  <si>
    <t>AREIA</t>
  </si>
  <si>
    <t>0,05 M³/M²</t>
  </si>
  <si>
    <t>15Kg/Unid</t>
  </si>
  <si>
    <t>kg/l</t>
  </si>
  <si>
    <t>Transformador</t>
  </si>
  <si>
    <t>Distância até São Luiz do Anauá</t>
  </si>
  <si>
    <t>km</t>
  </si>
  <si>
    <t>tonxkm</t>
  </si>
  <si>
    <t>ANEXO PB VIII - COMPOSIÇÕES DE CUSTOS AUXILIARES</t>
  </si>
  <si>
    <t>LIGAÇÃO PROVISORIA DE ÁGUA</t>
  </si>
  <si>
    <t>UNID.=</t>
  </si>
  <si>
    <t>UND</t>
  </si>
  <si>
    <t>CÓD. SINAPI</t>
  </si>
  <si>
    <t>DESCRIÇÃO</t>
  </si>
  <si>
    <t>UN</t>
  </si>
  <si>
    <t>Encanador ou Bombeiro Hidraulico com Encargos complementares</t>
  </si>
  <si>
    <t>h</t>
  </si>
  <si>
    <t>Ajudante de Encanador ou Bombeiro Hidraulico com Encargos complementares</t>
  </si>
  <si>
    <t>TUBO, PVC, SOLDÁVEL, DN 25MM, INSTALADO EM RAMAL DE DISTRIBUIÇÃO DE ÁGUA - FORNECIMENTO E INSTALAÇÃO. AF_12/2014</t>
  </si>
  <si>
    <t>REMOÇÃO DE PORTA E BATENTE</t>
  </si>
  <si>
    <t>88261</t>
  </si>
  <si>
    <t xml:space="preserve">Carpinteiro </t>
  </si>
  <si>
    <t>H</t>
  </si>
  <si>
    <t>88309</t>
  </si>
  <si>
    <t>Pedreiro</t>
  </si>
  <si>
    <t>SERVENTE COM ENCARGOS COMPLEMENTARES</t>
  </si>
  <si>
    <t>ELETRICISTA COM ENCARGOS COMPLEMENTARES</t>
  </si>
  <si>
    <t>GUINDAUTO HIDRÁULICO, CAPACIDADE MÁXIMA DE CARGA 6500 KG, MOMENTO MÁXIMO DE CARGA 5,8 TM, ALCANCE MÁXIMO HORIZONTAL 7,60 M, INCLUSIVE CAMINHÃO TOCO PBT 9.700 KG, POTÊNCIA DE 160 CV - CHP DIURNO. AF_08/2015</t>
  </si>
  <si>
    <t>chp</t>
  </si>
  <si>
    <t>LIXAMENTO DE PAREDE 1 DEMÃO</t>
  </si>
  <si>
    <t>LIXA EM FOLHA PARA PAREDE OU MADEIRA, NUMERO 120 (COR VERMELHA)</t>
  </si>
  <si>
    <t>Servente com encargos complementares</t>
  </si>
  <si>
    <t>Forro Modular em PVC 60x120cm, com estrutura de fixação em Laje</t>
  </si>
  <si>
    <t>PORTA DE VIDRO TEMPERADO, 2,50X2,60M, ESPESSURA 10MM, INCLUSIVE ACESSORIOS</t>
  </si>
  <si>
    <t>UNIDADE ==&gt;</t>
  </si>
  <si>
    <t>88325</t>
  </si>
  <si>
    <t>VIDRACEIRO COM ENCARGOS COMPLEMENTARES</t>
  </si>
  <si>
    <t>3104</t>
  </si>
  <si>
    <t>JOGO DE FERRAGENS CROMADAS P/ PORTA DE VIDRO TEMPERADO, UMA FOLHA COMPOSTA: DOBRADICA SUPERIOR (101) E INFERIOR (103),TRINCO (502), FECHADURA (520),CONTRA FECHADURA (531),COM CAPUCHINHO</t>
  </si>
  <si>
    <t>CJ</t>
  </si>
  <si>
    <t>10507</t>
  </si>
  <si>
    <t>VIDRO TEMPERADO INCOLOR E = 10 MM, SEM COLOCACAO</t>
  </si>
  <si>
    <t>11499</t>
  </si>
  <si>
    <t>MOLA HIDRAULICA DE PISO P/ VIDRO TEMPERADO 10MM</t>
  </si>
  <si>
    <t>11523</t>
  </si>
  <si>
    <t>PUXADOR CONCHA LATAO CROMADO OU POLIDO P/ PORTA/JAN CORRER - 3 X 9CM</t>
  </si>
  <si>
    <t>LIMPEZA DE CASTELO D'ÁGUA</t>
  </si>
  <si>
    <t>Lavatório para banheiro PNE</t>
  </si>
  <si>
    <t>LAVATÓRIO COM COLUNA</t>
  </si>
  <si>
    <t>ARGAMASSA OU CIMENTO COLANTE EM PO PARA FIXACAO DE PECAS CERAMICAS</t>
  </si>
  <si>
    <t>kg</t>
  </si>
  <si>
    <t>01380</t>
  </si>
  <si>
    <t>Cimento branco</t>
  </si>
  <si>
    <t>036204</t>
  </si>
  <si>
    <t>Barra de apoio metal inox 40cm</t>
  </si>
  <si>
    <t>un</t>
  </si>
  <si>
    <t>011684</t>
  </si>
  <si>
    <t>ENGATE / RABICHO FLEXIVEL INOX 1/2 " X 40 CM</t>
  </si>
  <si>
    <t>036796</t>
  </si>
  <si>
    <t>Torneira para lavatório – 1/2”- temporizada</t>
  </si>
  <si>
    <t>000077</t>
  </si>
  <si>
    <t>Adaptador para sifão metálico</t>
  </si>
  <si>
    <t>006136</t>
  </si>
  <si>
    <t>Sifão inox para lavatório</t>
  </si>
  <si>
    <t>038643</t>
  </si>
  <si>
    <t>VALVULA EM METAL CROMADO PARA LAVATORIO, 1 "</t>
  </si>
  <si>
    <t>04351</t>
  </si>
  <si>
    <t>PARAFUSO NIQUELADO P/ FIXAR PECA SANITARIA - INCL PORCA CEGA, ARRUELA E BUCHA DE NYLON S-8</t>
  </si>
  <si>
    <t>Ajudante</t>
  </si>
  <si>
    <t>VASO SANITÁRIO PNE</t>
  </si>
  <si>
    <t>Bacia sanitária com caixa acoplada -cor branco</t>
  </si>
  <si>
    <t>000377</t>
  </si>
  <si>
    <t>Assento plástico</t>
  </si>
  <si>
    <t>00001381</t>
  </si>
  <si>
    <t>001380</t>
  </si>
  <si>
    <t>036081</t>
  </si>
  <si>
    <t>Barra de apoio metal inox 80cm</t>
  </si>
  <si>
    <t>PARAFUSO NIQUELADO P/ FIXAR PECA SANITARIA - INCL PORCA CEGA, ARRUELA E BUCHA DE NYLON S-8, ANEL DE VEDAÇÃO</t>
  </si>
  <si>
    <t>LUMINÁRIA EMERGÊNCIA 60 LEDS</t>
  </si>
  <si>
    <t>0038774</t>
  </si>
  <si>
    <t>LUMINÁRIA  EMERGÊNCIA 60 LEDS</t>
  </si>
  <si>
    <t>FITA ISOLANTE -19mmx5m</t>
  </si>
  <si>
    <t>ROLO</t>
  </si>
  <si>
    <t>Eletricista</t>
  </si>
  <si>
    <t>88247</t>
  </si>
  <si>
    <t>Ajudante Especializado</t>
  </si>
  <si>
    <t>Luminária embutir com aletas T8/T10 2x32x36x40W</t>
  </si>
  <si>
    <t>Lampada Tubular LED 18W</t>
  </si>
  <si>
    <t>Eletricista com encargos complementares</t>
  </si>
  <si>
    <t>Lâmpada vapor metalico ovoide 150 w, base e27/e40</t>
  </si>
  <si>
    <t>Auxiliar de eletricista com encargos complementares</t>
  </si>
  <si>
    <t>Reator interno/integrado para lampada vapor metalico 400 w, alto fator de potencia</t>
  </si>
  <si>
    <t>Caixa octogonal 4"x 4", pvc, instalada em laje - fornecimento e instalação.</t>
  </si>
  <si>
    <t>Caixa octogonal de fundo móvel, em PVC, de 4"x4", para eletroduto flexivel corrugado</t>
  </si>
  <si>
    <t>Haste de aterramento em aco com 2,40 m de comprimento e dn = 5/8", revestida com baixa camada de cobre, sem conector</t>
  </si>
  <si>
    <t>Grampo metálico tipo olhal para haste de aterramento de 5/8'', condutor de10 a 50 mm²</t>
  </si>
  <si>
    <t>Caixa inspecao em concreto para aterramento e para raios diametro = 300 mm</t>
  </si>
  <si>
    <t>Disjuntor tipo DIN/IEC, tripolar corrente nominal de 100A</t>
  </si>
  <si>
    <t>Terminal a compressao em cobre estanhado para cabo 70mm², 1 furo e 1 compressao, para parafuso de fixacao m10</t>
  </si>
  <si>
    <t>Dispositivo DR, 2 polos, sensibilidade de 30 mA, corrente de 40A, tipo AC</t>
  </si>
  <si>
    <t>Terminal a compressao em cobre estanhado para cabo 4mm², 1 furo e 1 compressao, para parafuso de fixacao m5</t>
  </si>
  <si>
    <t>Dispositivo DPS classe II, 1 polo, tensão máxima de 175 V, corrente maxima de 45kA (tipo AC)</t>
  </si>
  <si>
    <t>Parafuso zincado, sextavado, com rosca inteira, diametro 5/8", comprimento 3", com porca e arruela de pressao media</t>
  </si>
  <si>
    <t>Arruela quadrada em aco galvanizado, dimensao = 38 mm, espessura = 3mm, diametro do furo= 18 mm</t>
  </si>
  <si>
    <t>Cabo de cobre, flexivel, classe 4 ou 5, isolacao em pvc/a, antichama bwf-b, cobertura pvc-st1, antichama bwf-b, 1 condutor, 0,6/1 kv, secao nominal 16 mm2</t>
  </si>
  <si>
    <t>Cabo de cobre, flexivel, classe 4 ou 5, isolacao em pvc/a, antichama bwf-b, cobertura pvc-st1, antichama bwf-b, 1 condutor, 0,6/1 kv, secao nominal 35 mm2</t>
  </si>
  <si>
    <t>Armação vertical com haste e contra-pino, em chapa de aço galvanizado 3/16", com 1 estribo e 1 isolador</t>
  </si>
  <si>
    <t xml:space="preserve">Disjuntor tripolar tipo DIN, corrente nominal de 100A </t>
  </si>
  <si>
    <t>Eletroduto de pvc rigido roscavel de 1 1/2" , sem luva</t>
  </si>
  <si>
    <t>Luva em pvc rigido roscavel, de 1 1/2", para eletroduto</t>
  </si>
  <si>
    <t>Isolador de porcelana, tipo roldana, dimensoes de *72* x *72* mm, para uso em baixa tensao</t>
  </si>
  <si>
    <t xml:space="preserve">Poste de concreto duplo T, 200 kgf, h = 7 m </t>
  </si>
  <si>
    <t>Caixa de medição, para medição direta, padrão Eletrobrás Distribuição Roraima</t>
  </si>
  <si>
    <t xml:space="preserve">Tomada média de embutir (1 módulo), RJ-45 Cat5e, incluindo suporte e placa (4" x 2") - fornecimento e instalação. </t>
  </si>
  <si>
    <t>Suporte parafusado com placa de encaixe 4" x 2" médio (1,30 m do piso) para ponto elétrico - fornecimento e instalação. Af_12/2015</t>
  </si>
  <si>
    <t>Tomada RJ45, 8 fios, cat 5e (apenas modulo)</t>
  </si>
  <si>
    <t>Suporte parafusado com placa de encaixe 4" x 2" baixo (0,30 m do piso) para ponto elétrico - fornecimento e instalação. Af_12/2015</t>
  </si>
  <si>
    <t xml:space="preserve">Tomada baixa de embutir (3 módulos), RJ-45 Cat5e, incluindo suporte e placa (4" x 4") - fornecimento e instalação. </t>
  </si>
  <si>
    <t>Suporte parafusado com placa de encaixe 4" x 4" baixo (0,30 m do piso) para ponto elétrico - fornecimento e instalação. Af_12/2015</t>
  </si>
  <si>
    <t>AUXILIAR DE ELETRICISTA COM ENCARGOS
COMPLEMENTARES</t>
  </si>
  <si>
    <t>ELETROCALHA PERFURADA EM CHAPA DE
AÇO GALVANIZADO, 50x50x3000 mm</t>
  </si>
  <si>
    <t>FIXAÇÃO DE TUBOS HORIZONTAIS DE COBRE DIÂMETROS    ≤ 40MM OU ELETROCALHAS ATÉ 150MM DE LARGURA,
COM ABRAÇADEIRA METÁLICA RÍGIDA TIPO D 1/2”,
FIXADA DIRETAMENTE NA LAJE</t>
  </si>
  <si>
    <t>TÊ HORIZONTAL 90° PARA ELETROCALHA EM
CHAPA DE AÇO GALVANIZADO 50X50MM</t>
  </si>
  <si>
    <t>TALA PARA EMENDA DE ELETROCALHA PERFURADA</t>
  </si>
  <si>
    <t>PARAFUSO CABEÇA LENTILHA ¼” X ¾”</t>
  </si>
  <si>
    <t>ARRUELA SIMPLES ¼”</t>
  </si>
  <si>
    <t>PORCA SEXTAVADA ¼”</t>
  </si>
  <si>
    <t>Cotovelo Reto 90º para Eletrocalha Perfurada em Aço Galvanizado 50x50mm, fornecimento e instalação.</t>
  </si>
  <si>
    <t>COTOVELO RETO 90° PARA ELETROCALHA EM
CHAPA DE AÇO GALVANIZADO 50X50MM</t>
  </si>
  <si>
    <t>COTAÇÃO 015</t>
  </si>
  <si>
    <t>CURVA DE INVERSÃO ELETROCALHA EM
CHAPA DE AÇO GALVANIZADO 75X50MM</t>
  </si>
  <si>
    <t>Terminal para Eletrocalha Perfurada em Aço Galvanizado 50mm.</t>
  </si>
  <si>
    <t>TERMINAL PARA ELETROCALHA EM
CHAPA DE AÇO GALVANIZADO 50MM</t>
  </si>
  <si>
    <t>DERIVAÇÃO PARA ELETRODUDTO 3/4" PARA ELETROCALHA EM CHAPA DE AÇO GALVANIZADO</t>
  </si>
  <si>
    <t>PISO TÁTIL DIRECIONAL / ALERTA – ÁREAS INTERNAS OU EXTERNAS</t>
  </si>
  <si>
    <t>00038181</t>
  </si>
  <si>
    <t>PISO TATIL DE ALERTA DE BORRACHA, 25 X 25 CM, E = 12 MM, PARA ARGAMASSA, CORES</t>
  </si>
  <si>
    <t>87620</t>
  </si>
  <si>
    <t>ARGAMASSA 1:4  CIMENTO + AREIA –  ESP. 2 a 3cm</t>
  </si>
  <si>
    <t>88262</t>
  </si>
  <si>
    <t>Montador</t>
  </si>
  <si>
    <t>88239</t>
  </si>
  <si>
    <t>Servente</t>
  </si>
  <si>
    <t>LIGAÇÃO DEFINITIVA DE ÁGUA</t>
  </si>
  <si>
    <t>ENCANADOR OU BOMBEIRO HIDRÁULICO COM ENCARGOS COMPLEMENTARES</t>
  </si>
  <si>
    <t>LIGAÇÃO DEFINITIVA DE ENERGIA</t>
  </si>
  <si>
    <t>Rampeado entrada Principal</t>
  </si>
  <si>
    <t>PEDREIRO COM ENCARGOS COMPLEMENTARES</t>
  </si>
  <si>
    <t>AREIA MEDIA - POSTO JAZIDA/FORNECEDOR (RETIRADO NA JAZIDA, SEM TRANSPORTE)</t>
  </si>
  <si>
    <t>CIMENTO BRANCO</t>
  </si>
  <si>
    <t>KG</t>
  </si>
  <si>
    <t>DESPESAS DE TRANSPORTE DE MATERIAL PARA O CANTEIRO</t>
  </si>
  <si>
    <t>Materiais Diversos</t>
  </si>
  <si>
    <t>OBS: Verificar memória de cálculo</t>
  </si>
  <si>
    <t>ADMINISTRAÇÃO LOCAL DA OBRA</t>
  </si>
  <si>
    <t>Engenheiro ou Arquiteto com encargos complementares              2 vezes/semana x 4 horas/dia x 3 meses</t>
  </si>
  <si>
    <t xml:space="preserve">Mestre de Obras com encargos complementares           </t>
  </si>
  <si>
    <t>mês</t>
  </si>
  <si>
    <t xml:space="preserve">Vigia noturno com encargos complementares </t>
  </si>
  <si>
    <t>ANEXO PB VII - COTAÇÃO</t>
  </si>
  <si>
    <t>INSTALAÇÃO ELÉTRICA</t>
  </si>
  <si>
    <t>COTAÇÃO 001</t>
  </si>
  <si>
    <t>1ª Empresa</t>
  </si>
  <si>
    <t>2ª Empresa</t>
  </si>
  <si>
    <t>3ª Empresa</t>
  </si>
  <si>
    <t>LM SGUARIO E SILVA &amp; CIA LTDA    CNPJ: 05.950.456/0001-36 End.: Glaycon de Paiva, 2609 - São Vicente - CEP: 69.303-340 - BOA VISTA/RR</t>
  </si>
  <si>
    <t>VIMEZER FORNC. DE SERV. LTDA    CNPJ: 10.159.093/0002-36  End.: Av. São Sebastião, 1647 - Santa Tereza - CEP: 69.312-318 - BOA VISTA/RR</t>
  </si>
  <si>
    <t>M.I. Revestimentos Ltda. CNPJ 10.490.181/0001-35. Endereço: Rua Marechal Deodoro, nº 717, 3º/4º/5º andares, Bairro Centro, Curitiba, Paraná.
CEP 80020-320</t>
  </si>
  <si>
    <t>MEDIANA (R$)</t>
  </si>
  <si>
    <t>Luminária embutir com aletas T8/T10 2x32/36/40W - fornecimento e instalação.</t>
  </si>
  <si>
    <t>COTAÇÃO 002</t>
  </si>
  <si>
    <t>4ª Empresa</t>
  </si>
  <si>
    <t>CASTELÃO COM. MAT. DE CONST. LTDA   CNPJ:01.268.775/0001-05 End.: Mário H. de Melo, 5088 - Caimbé - CEP: 69.312-000 BOA VISTA/RR</t>
  </si>
  <si>
    <t>BRASMOL - COM. SERV. IMP. E EXP. LTDA    CNPJ: 13.085.476/0001-14  End.: Av. Surumu, 2099 - Mecejana - CEP: 69.304-555 BOA VISTA/RR</t>
  </si>
  <si>
    <t>BRASFERRO - COM. IND. IMP. E EXP. LTDA    CNPJ: 84.054.329/0001-25 End.: Glaycon de Paiva, 2304 - Pricumã - CEP: 69.309-695  BOA VISTA/RR</t>
  </si>
  <si>
    <t xml:space="preserve">Lâmpada tubular de LED T8 18W </t>
  </si>
  <si>
    <t>COTAÇÃO 003</t>
  </si>
  <si>
    <t>CASA DO ELETRICISTA COM. E CONST. LTDA    CNPJ: 84.012.418/0001-09 End.: Av. Venezuela, 2127 - Liberdade - CEP: 69.309-005 - BOA VISTA/RR</t>
  </si>
  <si>
    <t>COTAÇÃO 004</t>
  </si>
  <si>
    <t>PREMOL INDUSTRIA, COMERCIO E SERVIÇO LTDA - CNPJ: 01.653.995/0001-52, Rua: Jorge cacapava nº100, Distrito Industrial - BOA VISTA/RR</t>
  </si>
  <si>
    <t>Poste de concreto duplo T, 200 kgf, h = 7 m</t>
  </si>
  <si>
    <t>COTAÇÃO 005</t>
  </si>
  <si>
    <t>CABEAMENTO ESTRUTURADO</t>
  </si>
  <si>
    <t>COTAÇÃO 006</t>
  </si>
  <si>
    <t>MAXTIL - CNPJ.: 07.265.878/0003-60 - Unidade Fabril São Paulo - Rua Rosa Mafei, 445 – Bonsucesso – Cep: 07177-110 – Guarulhos - SP - Tel. (11) 2631-9090</t>
  </si>
  <si>
    <t xml:space="preserve">PERFIL DUTO - Rua Elizabeth Koller, 201 – Itupeva- SP - Cep: 13295-000 -  Telefone de contato: (11) 4230-1860 (11) 4230-1866, comercial@perfilduto.com.br </t>
  </si>
  <si>
    <t>REAL PERFIL INDÚSTRIA E COMÉRCRIO LTDA - CNPJ: 69.179.448/0001-10
Av. Nossa Senhora do Ó, 955 - B. Limão - São Paulo/SP - Cep. 02715-000
Fone (11) 2134-0002 
email:vendas@realperfil.com.br</t>
  </si>
  <si>
    <t>Tala perfurada para emenda de eletrocalha  em aço galvanizado 50mm.</t>
  </si>
  <si>
    <t>COTAÇÃO 007</t>
  </si>
  <si>
    <t>Parafuso Cabeça lentilha, 1/4pol x 3/4pol.</t>
  </si>
  <si>
    <t>COTAÇÃO 008</t>
  </si>
  <si>
    <t>Arruela simples 1/4pol.</t>
  </si>
  <si>
    <t>COTAÇÃO 009</t>
  </si>
  <si>
    <t>Porca sextavada 1/4pol.</t>
  </si>
  <si>
    <t>COTAÇÃO 010</t>
  </si>
  <si>
    <t xml:space="preserve">PERFIL DUTO - CNPJ: 10.714.334/0001-80- Rua Elizabeth Koller, 201 – Itupeva- SP - Cep: 13295-000 -  Telefone de contato: (11) 4230-1860 (11) 4230-1866, comercial@perfilduto.com.br </t>
  </si>
  <si>
    <t>Eletrocalha perfurada 50mm x 50mm x 3000m</t>
  </si>
  <si>
    <t>COTAÇÃO 011</t>
  </si>
  <si>
    <t>T horizontal 90° para eletrocalha 50mm x 50mm.</t>
  </si>
  <si>
    <t>COTAÇÃO 012</t>
  </si>
  <si>
    <t>Cotovelo Reto 90° 50mm x 50mm.</t>
  </si>
  <si>
    <t>COTAÇÃO 013</t>
  </si>
  <si>
    <t>Terminal para elerocalha.</t>
  </si>
  <si>
    <t>COTAÇÃO 014</t>
  </si>
  <si>
    <t>Derivação de eletrocalha para eletroduto, 3/4 pol.</t>
  </si>
  <si>
    <t>Curva de inversão 75mm x 50mm.</t>
  </si>
  <si>
    <t>ITENS DIVERSOS</t>
  </si>
  <si>
    <t>COTAÇÃO 016</t>
  </si>
  <si>
    <t>Alumínio Boa Vista LTDA-ME CNPJ:09.379.251/0001-01 End.: Av. São Sebastião, 1745 - Santa Tereza - CEP: 69314-152 - VALOR SÓ INSUMO + MÃO DE OBRA COMPOSIÇÃO 96115</t>
  </si>
  <si>
    <t>Gauger e Alves LTDA-ME CNPJ: 11.950.993/0001-89 End.: Av. São Sebastião, 1426 - Tancredo Neves - CEP: 69313-495 - VALOR INSUMO E MÃO DE OBRA</t>
  </si>
  <si>
    <t>NOROESTE MANAUS, CNPJ: 18.918.142/0001-06, Av. Efigênio Sales nº 1800, Aleixo - Manaus (AM), Fone: 92-3303-9650 E-mail: marcos.silva@noroeste-am.com.br</t>
  </si>
  <si>
    <t>STEMAC S/A GRUPOS GERADORES, MANAUS/AM, CNPJ: 92.753.268/0014-37 Av. Tefe nº 2573 Complemento A, Bairro: Raiz Fone: 92-2123-8200 E-mail: manaus@stemac.com.br</t>
  </si>
  <si>
    <t>GENESyS SERVIÇOS E COMÉRCIO DE MATERIAIS ELÉTRICOS LTDA CNPJ: 12.114.056/0001-56, Matriz: Av. Nathan Xavier de Albuquerque, 1327, Lote Aguas Claras, Novo Aleixo, Manaus/AM, Fone: 92-3025-3804</t>
  </si>
  <si>
    <t>GRUPO GERADOR</t>
  </si>
  <si>
    <t>ANEXO PB IX.A – CALCULO BDI</t>
  </si>
  <si>
    <t>COMPOSIÇÃO ANALÍTICA DO BDI - Construção de Edificação</t>
  </si>
  <si>
    <t>DISCRIMINIAÇÃO</t>
  </si>
  <si>
    <t>Índices</t>
  </si>
  <si>
    <t>ÍNDICE ADOTADO</t>
  </si>
  <si>
    <t>1º quartil</t>
  </si>
  <si>
    <t>médio</t>
  </si>
  <si>
    <t>3º quartil</t>
  </si>
  <si>
    <t>X</t>
  </si>
  <si>
    <t>Administração Central</t>
  </si>
  <si>
    <t>Seguro e Garantia</t>
  </si>
  <si>
    <t>Risco</t>
  </si>
  <si>
    <t>Y</t>
  </si>
  <si>
    <t>Despesas Financeiras</t>
  </si>
  <si>
    <t>Z</t>
  </si>
  <si>
    <t>Lucro</t>
  </si>
  <si>
    <t>Tributos (totais)</t>
  </si>
  <si>
    <t>COFINS</t>
  </si>
  <si>
    <t>PIS</t>
  </si>
  <si>
    <t>ISS</t>
  </si>
  <si>
    <t>ISS tirei da Lei Municipal 267/2015 item 7.02 tabela da lei</t>
  </si>
  <si>
    <t xml:space="preserve"> % DE BDI A SER UTILIZADO =</t>
  </si>
  <si>
    <t>LEGENDA</t>
  </si>
  <si>
    <t>FÓRMULA PARA CÁLCULO DO BDI</t>
  </si>
  <si>
    <t>X =</t>
  </si>
  <si>
    <t>Despesas indiretas (exceto tributos e despesas financeiras)</t>
  </si>
  <si>
    <t>Y =</t>
  </si>
  <si>
    <t>Despesas financeiras</t>
  </si>
  <si>
    <t>Z =</t>
  </si>
  <si>
    <t>I =</t>
  </si>
  <si>
    <t>Taxa representativa da incidência de impostos</t>
  </si>
  <si>
    <t>BDI=</t>
  </si>
  <si>
    <t>(1+X)     x</t>
  </si>
  <si>
    <t>(1+Y)    x</t>
  </si>
  <si>
    <t>(1+Z)</t>
  </si>
  <si>
    <t>-1</t>
  </si>
  <si>
    <t>(1 - I)</t>
  </si>
  <si>
    <t>- 1</t>
  </si>
  <si>
    <r>
      <rPr>
        <sz val="11"/>
        <color theme="1"/>
        <rFont val="宋体"/>
        <charset val="134"/>
      </rPr>
      <t xml:space="preserve">Obs: Os valores máximos e mínimos foram adotados conforme orientação do </t>
    </r>
    <r>
      <rPr>
        <sz val="11"/>
        <color rgb="FF0000FF"/>
        <rFont val="Calibri"/>
        <charset val="134"/>
      </rPr>
      <t>ACÓRDÃO 2622/2013 – TCU – Plenário</t>
    </r>
    <r>
      <rPr>
        <sz val="11"/>
        <color theme="1"/>
        <rFont val="宋体"/>
        <charset val="134"/>
      </rPr>
      <t>.</t>
    </r>
  </si>
  <si>
    <t xml:space="preserve">     *Fórmula orientada pelo Tribunal de Contas da União para o cálculo final do BDI</t>
  </si>
  <si>
    <t xml:space="preserve">     **Caso a empresa seja optante pelo Simples Nacional colocar os encargos conforme seu cadastramento no sistema e comprovar essa faixa utilizada para a Administração</t>
  </si>
  <si>
    <t>ANEXO PB IX.B – CALCULO BDI DIFERENCIADO</t>
  </si>
  <si>
    <t>COMPOSIÇÃO ANALÍTICA DO BDI DIFERENCIADO - Equipamentos</t>
  </si>
  <si>
    <r>
      <rPr>
        <b/>
        <i/>
        <sz val="12"/>
        <color rgb="FF000000"/>
        <rFont val="Arial"/>
        <charset val="134"/>
      </rPr>
      <t xml:space="preserve">Obs: Os valores máximos e mínimos foram adotados conforme orientação do </t>
    </r>
    <r>
      <rPr>
        <b/>
        <i/>
        <sz val="12"/>
        <color rgb="FF0000FF"/>
        <rFont val="Arial"/>
        <charset val="134"/>
      </rPr>
      <t>ACÓRDÃO 2622/2013 – TCU – Plenário</t>
    </r>
    <r>
      <rPr>
        <b/>
        <i/>
        <sz val="12"/>
        <color rgb="FF000000"/>
        <rFont val="Arial"/>
        <charset val="134"/>
      </rPr>
      <t>.</t>
    </r>
  </si>
  <si>
    <t>ANEXO PB IX.C - COMPOSIÇÃO DE LEIS SOCIAIS</t>
  </si>
  <si>
    <t>HORISTA  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</si>
  <si>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</si>
  <si>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</si>
  <si>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</si>
  <si>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</si>
  <si>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</si>
  <si>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</si>
  <si>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</si>
  <si>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</si>
  <si>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</si>
  <si>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</si>
  <si>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</si>
  <si>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</si>
  <si>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</si>
  <si>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</si>
  <si>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</si>
  <si>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</si>
  <si>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</si>
  <si>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</si>
  <si>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</si>
  <si>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</si>
  <si>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</si>
  <si>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GRUPO B</t>
  </si>
  <si>
    <t>B1</t>
  </si>
  <si>
    <t>Repouso Semanal Remunerado</t>
  </si>
  <si>
    <t>B2</t>
  </si>
  <si>
    <t>Feriados</t>
  </si>
  <si>
    <t>B3</t>
  </si>
  <si>
    <t>Auxílio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</si>
  <si>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</si>
  <si>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</si>
  <si>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</si>
  <si>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</si>
  <si>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</si>
  <si>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</si>
  <si>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</si>
  <si>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</si>
  <si>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</si>
  <si>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</si>
  <si>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</si>
  <si>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</si>
  <si>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</si>
  <si>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</si>
  <si>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</si>
  <si>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</si>
  <si>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</si>
  <si>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</si>
  <si>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</si>
  <si>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</si>
  <si>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</si>
  <si>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</si>
  <si>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</si>
  <si>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</si>
  <si>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</si>
  <si>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</si>
  <si>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</si>
  <si>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</si>
  <si>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</si>
  <si>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</si>
  <si>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</si>
  <si>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de FGTS sobre Aviso Prévio Indenizado</t>
  </si>
  <si>
    <t>D</t>
  </si>
  <si>
    <t>TOTAL (A+B+C+D) - %</t>
  </si>
  <si>
    <t>Obs: **Caso a empresa seja optante pelo Simples Nacional colocar os encargos conforme seu cadastramento no sistema e comprovar essa faixa utilizada para a Administração</t>
  </si>
</sst>
</file>

<file path=xl/styles.xml><?xml version="1.0" encoding="utf-8"?>
<styleSheet xmlns="http://schemas.openxmlformats.org/spreadsheetml/2006/main">
  <numFmts count="18">
    <numFmt numFmtId="43" formatCode="_-* #,##0.00_-;\-* #,##0.00_-;_-* &quot;-&quot;??_-;_-@_-"/>
    <numFmt numFmtId="164" formatCode="_(* #,##0.00_);_(* \(#,##0.00\);_(* &quot;-&quot;??_);_(@_)"/>
    <numFmt numFmtId="165" formatCode="0.0_ "/>
    <numFmt numFmtId="167" formatCode="&quot;( &quot;#,##0.00000&quot;)&quot;"/>
    <numFmt numFmtId="168" formatCode="#,##0.00&quot; &quot;;&quot; (&quot;#,##0.00&quot;)&quot;;&quot;-&quot;#&quot; &quot;;@&quot; &quot;"/>
    <numFmt numFmtId="171" formatCode="#,##0.00000"/>
    <numFmt numFmtId="172" formatCode="&quot;(1 + &quot;#,##0.00000&quot;) x&quot;"/>
    <numFmt numFmtId="173" formatCode="0.000%"/>
    <numFmt numFmtId="174" formatCode="0.0000"/>
    <numFmt numFmtId="175" formatCode="#,##0.0000"/>
    <numFmt numFmtId="176" formatCode="&quot;(1 - &quot;#,##0.00000&quot;)&quot;"/>
    <numFmt numFmtId="177" formatCode="&quot;(1 + &quot;#,##0.00000&quot;)&quot;"/>
    <numFmt numFmtId="178" formatCode="&quot;( &quot;#,##0.00000&quot;) x&quot;"/>
    <numFmt numFmtId="179" formatCode="&quot;R$&quot;#,##0.00"/>
    <numFmt numFmtId="180" formatCode="0.00_ "/>
    <numFmt numFmtId="181" formatCode="&quot;R$&quot;\ #,##0.00"/>
    <numFmt numFmtId="182" formatCode="0.0"/>
    <numFmt numFmtId="183" formatCode="#,##0.000"/>
  </numFmts>
  <fonts count="48">
    <font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9"/>
      <color rgb="FF000000"/>
      <name val="Arial"/>
      <charset val="134"/>
    </font>
    <font>
      <b/>
      <sz val="9"/>
      <color theme="1"/>
      <name val="Arial"/>
      <charset val="134"/>
    </font>
    <font>
      <sz val="11"/>
      <color theme="1"/>
      <name val="Arial"/>
      <charset val="134"/>
    </font>
    <font>
      <b/>
      <sz val="13"/>
      <color rgb="FF000000"/>
      <name val="Arial"/>
      <charset val="134"/>
    </font>
    <font>
      <sz val="11"/>
      <color rgb="FF000000"/>
      <name val="Arial"/>
      <charset val="134"/>
    </font>
    <font>
      <b/>
      <sz val="12"/>
      <color rgb="FF000000"/>
      <name val="Arial"/>
      <charset val="134"/>
    </font>
    <font>
      <b/>
      <sz val="12"/>
      <color rgb="FFFFFFFF"/>
      <name val="Arial"/>
      <charset val="134"/>
    </font>
    <font>
      <sz val="12"/>
      <color rgb="FF000000"/>
      <name val="Arial"/>
      <charset val="134"/>
    </font>
    <font>
      <b/>
      <i/>
      <sz val="12"/>
      <color rgb="FF000000"/>
      <name val="Arial"/>
      <charset val="134"/>
    </font>
    <font>
      <sz val="11"/>
      <color rgb="FF800000"/>
      <name val="Arial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Calibri"/>
      <charset val="134"/>
      <scheme val="minor"/>
    </font>
    <font>
      <sz val="9"/>
      <name val="Arial"/>
      <charset val="134"/>
    </font>
    <font>
      <b/>
      <sz val="12"/>
      <color theme="1"/>
      <name val="Calibri"/>
      <charset val="134"/>
      <scheme val="minor"/>
    </font>
    <font>
      <b/>
      <sz val="9"/>
      <name val="Arial"/>
      <charset val="134"/>
    </font>
    <font>
      <sz val="10"/>
      <color rgb="FF000000"/>
      <name val="Arial"/>
      <charset val="134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color rgb="FF000000"/>
      <name val="Arial"/>
      <charset val="134"/>
    </font>
    <font>
      <sz val="8"/>
      <color theme="1"/>
      <name val="Arial"/>
      <charset val="134"/>
    </font>
    <font>
      <b/>
      <sz val="8"/>
      <name val="Arial"/>
      <charset val="134"/>
    </font>
    <font>
      <sz val="8"/>
      <color rgb="FF000000"/>
      <name val="Arial"/>
      <charset val="134"/>
    </font>
    <font>
      <b/>
      <sz val="8"/>
      <color rgb="FF000000"/>
      <name val="Arial"/>
      <charset val="134"/>
    </font>
    <font>
      <sz val="8"/>
      <name val="Arial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sz val="10"/>
      <name val="Calibri"/>
      <charset val="134"/>
      <scheme val="minor"/>
    </font>
    <font>
      <sz val="8"/>
      <color rgb="FFFF0000"/>
      <name val="Arial"/>
      <charset val="134"/>
    </font>
    <font>
      <sz val="12"/>
      <color theme="1"/>
      <name val="Arial"/>
      <charset val="134"/>
    </font>
    <font>
      <b/>
      <sz val="8"/>
      <color theme="1"/>
      <name val="Arial"/>
      <charset val="134"/>
    </font>
    <font>
      <sz val="11"/>
      <name val="Calibri"/>
      <charset val="134"/>
      <scheme val="minor"/>
    </font>
    <font>
      <sz val="8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8"/>
      <name val="Arial1"/>
      <charset val="134"/>
    </font>
    <font>
      <sz val="10"/>
      <name val="Arial"/>
      <charset val="134"/>
    </font>
    <font>
      <sz val="10"/>
      <color rgb="FF000000"/>
      <name val="Arial1"/>
      <charset val="134"/>
    </font>
    <font>
      <sz val="10"/>
      <color rgb="FF000000"/>
      <name val="Times New Roman"/>
      <charset val="134"/>
    </font>
    <font>
      <sz val="11"/>
      <color rgb="FF000000"/>
      <name val="Arial1"/>
      <charset val="134"/>
    </font>
    <font>
      <sz val="11"/>
      <color rgb="FF800000"/>
      <name val="Calibri1"/>
      <charset val="134"/>
    </font>
    <font>
      <b/>
      <i/>
      <sz val="12"/>
      <color rgb="FF0000FF"/>
      <name val="Arial"/>
      <charset val="134"/>
    </font>
    <font>
      <sz val="11"/>
      <color theme="1"/>
      <name val="宋体"/>
      <charset val="134"/>
    </font>
    <font>
      <sz val="11"/>
      <color rgb="FF0000FF"/>
      <name val="Calibri"/>
      <charset val="134"/>
    </font>
    <font>
      <sz val="11"/>
      <color theme="1"/>
      <name val="Calibri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rgb="FFDDDDDD"/>
        <bgColor rgb="FFDDDDDD"/>
      </patternFill>
    </fill>
    <fill>
      <patternFill patternType="solid">
        <fgColor rgb="FFEEEEEE"/>
        <bgColor rgb="FFEEEEEE"/>
      </patternFill>
    </fill>
    <fill>
      <patternFill patternType="solid">
        <fgColor rgb="FF333399"/>
        <bgColor rgb="FF333399"/>
      </patternFill>
    </fill>
    <fill>
      <patternFill patternType="solid">
        <fgColor theme="0" tint="-0.14984588152714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374370555742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43" fontId="47" fillId="0" borderId="0" applyFont="0" applyFill="0" applyBorder="0" applyAlignment="0" applyProtection="0"/>
    <xf numFmtId="164" fontId="39" fillId="0" borderId="0" applyFont="0" applyFill="0" applyBorder="0" applyAlignment="0" applyProtection="0"/>
    <xf numFmtId="9" fontId="47" fillId="0" borderId="0" applyFont="0" applyFill="0" applyBorder="0" applyAlignment="0" applyProtection="0"/>
    <xf numFmtId="168" fontId="40" fillId="0" borderId="0"/>
    <xf numFmtId="0" fontId="20" fillId="0" borderId="0" applyNumberFormat="0" applyBorder="0" applyProtection="0"/>
    <xf numFmtId="0" fontId="41" fillId="0" borderId="0" applyNumberFormat="0" applyBorder="0" applyProtection="0"/>
    <xf numFmtId="0" fontId="20" fillId="0" borderId="0" applyNumberFormat="0" applyBorder="0" applyProtection="0"/>
    <xf numFmtId="0" fontId="47" fillId="0" borderId="0">
      <alignment vertical="center"/>
    </xf>
    <xf numFmtId="0" fontId="42" fillId="0" borderId="0"/>
    <xf numFmtId="0" fontId="43" fillId="0" borderId="0" applyNumberFormat="0" applyBorder="0" applyProtection="0"/>
  </cellStyleXfs>
  <cellXfs count="567">
    <xf numFmtId="0" fontId="0" fillId="0" borderId="0" xfId="0"/>
    <xf numFmtId="0" fontId="1" fillId="0" borderId="0" xfId="0" applyFont="1"/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 wrapText="1"/>
    </xf>
    <xf numFmtId="164" fontId="3" fillId="0" borderId="1" xfId="2" applyFont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/>
    </xf>
    <xf numFmtId="0" fontId="1" fillId="0" borderId="1" xfId="8" applyFont="1" applyBorder="1" applyAlignment="1">
      <alignment horizontal="left" vertical="center" wrapText="1"/>
    </xf>
    <xf numFmtId="164" fontId="1" fillId="0" borderId="1" xfId="2" applyFont="1" applyBorder="1" applyAlignment="1">
      <alignment horizontal="left" vertical="center"/>
    </xf>
    <xf numFmtId="0" fontId="3" fillId="0" borderId="1" xfId="8" applyFont="1" applyBorder="1" applyAlignment="1">
      <alignment horizontal="left" vertical="center" wrapText="1"/>
    </xf>
    <xf numFmtId="164" fontId="3" fillId="0" borderId="1" xfId="2" applyFont="1" applyBorder="1" applyAlignment="1">
      <alignment horizontal="left" vertical="center"/>
    </xf>
    <xf numFmtId="0" fontId="3" fillId="0" borderId="1" xfId="8" applyFont="1" applyBorder="1" applyAlignment="1">
      <alignment horizontal="left" vertical="top" wrapText="1"/>
    </xf>
    <xf numFmtId="0" fontId="4" fillId="0" borderId="0" xfId="0" applyFont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0" xfId="7" applyFont="1" applyFill="1" applyAlignment="1" applyProtection="1">
      <alignment horizontal="left"/>
    </xf>
    <xf numFmtId="0" fontId="6" fillId="0" borderId="0" xfId="6" applyFont="1" applyFill="1" applyAlignment="1" applyProtection="1">
      <alignment vertical="center" wrapText="1"/>
    </xf>
    <xf numFmtId="0" fontId="7" fillId="0" borderId="0" xfId="7" applyFont="1" applyFill="1" applyAlignment="1" applyProtection="1">
      <alignment horizontal="left"/>
    </xf>
    <xf numFmtId="0" fontId="7" fillId="0" borderId="0" xfId="6" applyFont="1" applyFill="1" applyAlignment="1" applyProtection="1">
      <alignment vertical="center" wrapText="1"/>
    </xf>
    <xf numFmtId="0" fontId="9" fillId="0" borderId="0" xfId="5" applyFont="1" applyFill="1" applyAlignment="1" applyProtection="1">
      <alignment horizontal="center"/>
    </xf>
    <xf numFmtId="0" fontId="9" fillId="0" borderId="0" xfId="5" applyFont="1" applyFill="1" applyAlignment="1" applyProtection="1"/>
    <xf numFmtId="0" fontId="7" fillId="0" borderId="8" xfId="5" applyFont="1" applyFill="1" applyBorder="1" applyAlignment="1" applyProtection="1">
      <alignment horizontal="center"/>
    </xf>
    <xf numFmtId="10" fontId="9" fillId="0" borderId="8" xfId="5" applyNumberFormat="1" applyFont="1" applyFill="1" applyBorder="1" applyAlignment="1" applyProtection="1">
      <alignment horizontal="center"/>
    </xf>
    <xf numFmtId="10" fontId="7" fillId="0" borderId="8" xfId="5" applyNumberFormat="1" applyFont="1" applyFill="1" applyBorder="1" applyAlignment="1" applyProtection="1">
      <alignment horizontal="center"/>
    </xf>
    <xf numFmtId="173" fontId="9" fillId="0" borderId="8" xfId="5" applyNumberFormat="1" applyFont="1" applyFill="1" applyBorder="1" applyAlignment="1" applyProtection="1">
      <alignment horizontal="center"/>
    </xf>
    <xf numFmtId="173" fontId="7" fillId="0" borderId="8" xfId="5" applyNumberFormat="1" applyFont="1" applyFill="1" applyBorder="1" applyAlignment="1" applyProtection="1">
      <alignment horizontal="center"/>
    </xf>
    <xf numFmtId="0" fontId="9" fillId="0" borderId="8" xfId="5" applyFont="1" applyFill="1" applyBorder="1" applyAlignment="1" applyProtection="1">
      <alignment horizontal="right" vertical="top"/>
    </xf>
    <xf numFmtId="0" fontId="9" fillId="0" borderId="8" xfId="5" applyFont="1" applyFill="1" applyBorder="1" applyAlignment="1" applyProtection="1">
      <alignment horizontal="right"/>
    </xf>
    <xf numFmtId="0" fontId="9" fillId="0" borderId="6" xfId="5" applyFont="1" applyFill="1" applyBorder="1" applyAlignment="1" applyProtection="1">
      <alignment horizontal="center"/>
    </xf>
    <xf numFmtId="0" fontId="9" fillId="0" borderId="12" xfId="5" applyFont="1" applyFill="1" applyBorder="1" applyAlignment="1" applyProtection="1">
      <alignment horizontal="center"/>
    </xf>
    <xf numFmtId="172" fontId="6" fillId="0" borderId="6" xfId="5" applyNumberFormat="1" applyFont="1" applyFill="1" applyBorder="1" applyAlignment="1" applyProtection="1">
      <alignment horizontal="center"/>
    </xf>
    <xf numFmtId="177" fontId="6" fillId="0" borderId="6" xfId="5" applyNumberFormat="1" applyFont="1" applyFill="1" applyBorder="1" applyAlignment="1" applyProtection="1">
      <alignment horizontal="center"/>
    </xf>
    <xf numFmtId="176" fontId="9" fillId="0" borderId="12" xfId="5" applyNumberFormat="1" applyFont="1" applyFill="1" applyBorder="1" applyAlignment="1" applyProtection="1">
      <alignment horizontal="center"/>
    </xf>
    <xf numFmtId="178" fontId="9" fillId="0" borderId="6" xfId="5" applyNumberFormat="1" applyFont="1" applyFill="1" applyBorder="1" applyAlignment="1" applyProtection="1">
      <alignment horizontal="center"/>
    </xf>
    <xf numFmtId="167" fontId="9" fillId="0" borderId="6" xfId="5" applyNumberFormat="1" applyFont="1" applyFill="1" applyBorder="1" applyAlignment="1" applyProtection="1">
      <alignment horizontal="center"/>
    </xf>
    <xf numFmtId="167" fontId="9" fillId="0" borderId="12" xfId="5" applyNumberFormat="1" applyFont="1" applyFill="1" applyBorder="1" applyAlignment="1" applyProtection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11" fillId="0" borderId="0" xfId="10" applyFont="1" applyFill="1" applyAlignment="1" applyProtection="1">
      <alignment vertical="center" wrapText="1"/>
    </xf>
    <xf numFmtId="171" fontId="9" fillId="0" borderId="7" xfId="5" applyNumberFormat="1" applyFont="1" applyFill="1" applyBorder="1" applyAlignment="1" applyProtection="1">
      <alignment horizontal="center"/>
    </xf>
    <xf numFmtId="173" fontId="7" fillId="0" borderId="7" xfId="5" applyNumberFormat="1" applyFont="1" applyFill="1" applyBorder="1" applyAlignment="1" applyProtection="1">
      <alignment horizontal="center"/>
    </xf>
    <xf numFmtId="10" fontId="7" fillId="0" borderId="8" xfId="5" applyNumberFormat="1" applyFont="1" applyFill="1" applyBorder="1" applyAlignment="1" applyProtection="1"/>
    <xf numFmtId="0" fontId="0" fillId="0" borderId="0" xfId="0" applyFont="1"/>
    <xf numFmtId="0" fontId="4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vertical="center" wrapText="1"/>
    </xf>
    <xf numFmtId="0" fontId="13" fillId="7" borderId="16" xfId="0" applyFont="1" applyFill="1" applyBorder="1" applyAlignment="1">
      <alignment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/>
    </xf>
    <xf numFmtId="0" fontId="14" fillId="9" borderId="21" xfId="0" applyFont="1" applyFill="1" applyBorder="1" applyAlignment="1">
      <alignment horizontal="center"/>
    </xf>
    <xf numFmtId="49" fontId="12" fillId="10" borderId="2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10" borderId="2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2" fontId="12" fillId="1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 wrapText="1"/>
    </xf>
    <xf numFmtId="43" fontId="15" fillId="0" borderId="0" xfId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9" fontId="12" fillId="10" borderId="2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4" fillId="9" borderId="24" xfId="0" applyFont="1" applyFill="1" applyBorder="1" applyAlignment="1">
      <alignment horizontal="center" vertical="center"/>
    </xf>
    <xf numFmtId="0" fontId="14" fillId="9" borderId="25" xfId="0" applyFont="1" applyFill="1" applyBorder="1" applyAlignment="1">
      <alignment horizontal="center" vertical="center"/>
    </xf>
    <xf numFmtId="49" fontId="12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0" fontId="13" fillId="9" borderId="18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right" vertical="center" wrapText="1"/>
    </xf>
    <xf numFmtId="180" fontId="12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vertical="center" wrapText="1"/>
    </xf>
    <xf numFmtId="43" fontId="15" fillId="0" borderId="0" xfId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vertical="center" wrapText="1"/>
    </xf>
    <xf numFmtId="180" fontId="12" fillId="0" borderId="1" xfId="0" applyNumberFormat="1" applyFont="1" applyFill="1" applyBorder="1" applyAlignment="1">
      <alignment vertical="center" wrapText="1"/>
    </xf>
    <xf numFmtId="180" fontId="12" fillId="0" borderId="0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right" vertical="center" wrapText="1"/>
    </xf>
    <xf numFmtId="0" fontId="15" fillId="0" borderId="26" xfId="0" applyFont="1" applyFill="1" applyBorder="1" applyAlignment="1">
      <alignment vertical="center" wrapText="1"/>
    </xf>
    <xf numFmtId="0" fontId="12" fillId="0" borderId="26" xfId="0" applyFont="1" applyBorder="1" applyAlignment="1">
      <alignment horizontal="center" vertical="center"/>
    </xf>
    <xf numFmtId="180" fontId="12" fillId="0" borderId="26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5" fillId="10" borderId="0" xfId="0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right" vertical="center" wrapText="1"/>
    </xf>
    <xf numFmtId="2" fontId="12" fillId="10" borderId="0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7" fillId="2" borderId="9" xfId="0" applyNumberFormat="1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horizontal="center" vertical="center" wrapText="1"/>
    </xf>
    <xf numFmtId="175" fontId="17" fillId="11" borderId="1" xfId="0" applyNumberFormat="1" applyFont="1" applyFill="1" applyBorder="1" applyAlignment="1">
      <alignment horizontal="center" vertical="center" wrapText="1"/>
    </xf>
    <xf numFmtId="2" fontId="17" fillId="11" borderId="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4" fontId="19" fillId="2" borderId="7" xfId="0" applyNumberFormat="1" applyFont="1" applyFill="1" applyBorder="1" applyAlignment="1">
      <alignment horizontal="right" vertical="center" wrapText="1"/>
    </xf>
    <xf numFmtId="2" fontId="20" fillId="0" borderId="0" xfId="0" applyNumberFormat="1" applyFont="1" applyBorder="1" applyAlignment="1">
      <alignment horizontal="right" vertical="center" wrapText="1"/>
    </xf>
    <xf numFmtId="2" fontId="20" fillId="11" borderId="0" xfId="0" applyNumberFormat="1" applyFont="1" applyFill="1" applyBorder="1" applyAlignment="1">
      <alignment horizontal="right" vertical="center" wrapText="1"/>
    </xf>
    <xf numFmtId="0" fontId="20" fillId="0" borderId="0" xfId="0" applyFont="1" applyBorder="1" applyAlignment="1">
      <alignment horizontal="right"/>
    </xf>
    <xf numFmtId="49" fontId="20" fillId="11" borderId="8" xfId="0" applyNumberFormat="1" applyFont="1" applyFill="1" applyBorder="1" applyAlignment="1">
      <alignment horizontal="center" vertical="center" wrapText="1"/>
    </xf>
    <xf numFmtId="4" fontId="20" fillId="12" borderId="8" xfId="0" applyNumberFormat="1" applyFont="1" applyFill="1" applyBorder="1" applyAlignment="1">
      <alignment horizontal="left" vertical="top" wrapText="1"/>
    </xf>
    <xf numFmtId="2" fontId="20" fillId="11" borderId="7" xfId="0" applyNumberFormat="1" applyFont="1" applyFill="1" applyBorder="1" applyAlignment="1">
      <alignment horizontal="right" vertical="center" wrapText="1"/>
    </xf>
    <xf numFmtId="0" fontId="20" fillId="0" borderId="8" xfId="0" applyFont="1" applyBorder="1" applyAlignment="1">
      <alignment horizontal="right"/>
    </xf>
    <xf numFmtId="0" fontId="4" fillId="11" borderId="0" xfId="0" applyFont="1" applyFill="1"/>
    <xf numFmtId="49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11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75" fontId="17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right" vertical="center" wrapText="1"/>
    </xf>
    <xf numFmtId="4" fontId="20" fillId="11" borderId="8" xfId="0" applyNumberFormat="1" applyFont="1" applyFill="1" applyBorder="1" applyAlignment="1">
      <alignment horizontal="center" vertical="center" wrapText="1"/>
    </xf>
    <xf numFmtId="2" fontId="20" fillId="11" borderId="8" xfId="0" applyNumberFormat="1" applyFont="1" applyFill="1" applyBorder="1" applyAlignment="1">
      <alignment horizontal="center" vertical="center" wrapText="1"/>
    </xf>
    <xf numFmtId="4" fontId="20" fillId="11" borderId="8" xfId="0" applyNumberFormat="1" applyFont="1" applyFill="1" applyBorder="1" applyAlignment="1">
      <alignment horizontal="right" vertical="center"/>
    </xf>
    <xf numFmtId="4" fontId="20" fillId="0" borderId="8" xfId="0" applyNumberFormat="1" applyFont="1" applyFill="1" applyBorder="1" applyAlignment="1">
      <alignment horizontal="right" vertical="center"/>
    </xf>
    <xf numFmtId="2" fontId="20" fillId="11" borderId="8" xfId="0" applyNumberFormat="1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0" fontId="20" fillId="0" borderId="0" xfId="0" applyFont="1"/>
    <xf numFmtId="2" fontId="17" fillId="11" borderId="1" xfId="0" applyNumberFormat="1" applyFont="1" applyFill="1" applyBorder="1" applyAlignment="1">
      <alignment vertical="center"/>
    </xf>
    <xf numFmtId="0" fontId="17" fillId="11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2" fontId="17" fillId="11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9" fontId="17" fillId="11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top"/>
    </xf>
    <xf numFmtId="49" fontId="6" fillId="0" borderId="0" xfId="0" applyNumberFormat="1" applyFont="1" applyBorder="1" applyAlignment="1">
      <alignment wrapText="1"/>
    </xf>
    <xf numFmtId="2" fontId="6" fillId="0" borderId="0" xfId="0" applyNumberFormat="1" applyFont="1" applyBorder="1" applyAlignment="1">
      <alignment horizontal="center" vertical="top"/>
    </xf>
    <xf numFmtId="0" fontId="4" fillId="11" borderId="1" xfId="0" applyFont="1" applyFill="1" applyBorder="1"/>
    <xf numFmtId="0" fontId="4" fillId="0" borderId="1" xfId="0" applyFont="1" applyBorder="1"/>
    <xf numFmtId="4" fontId="17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4" fontId="17" fillId="11" borderId="1" xfId="0" applyNumberFormat="1" applyFont="1" applyFill="1" applyBorder="1" applyAlignment="1">
      <alignment horizontal="center" vertical="center" wrapText="1"/>
    </xf>
    <xf numFmtId="4" fontId="19" fillId="2" borderId="10" xfId="0" applyNumberFormat="1" applyFont="1" applyFill="1" applyBorder="1" applyAlignment="1">
      <alignment horizontal="right" vertical="center" wrapText="1"/>
    </xf>
    <xf numFmtId="0" fontId="17" fillId="11" borderId="1" xfId="0" applyNumberFormat="1" applyFon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vertical="center" wrapText="1"/>
    </xf>
    <xf numFmtId="183" fontId="17" fillId="11" borderId="1" xfId="0" applyNumberFormat="1" applyFont="1" applyFill="1" applyBorder="1" applyAlignment="1">
      <alignment horizontal="center" vertical="center" wrapText="1"/>
    </xf>
    <xf numFmtId="4" fontId="17" fillId="11" borderId="1" xfId="0" applyNumberFormat="1" applyFont="1" applyFill="1" applyBorder="1" applyAlignment="1">
      <alignment horizontal="right" vertical="center" wrapText="1"/>
    </xf>
    <xf numFmtId="1" fontId="17" fillId="11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1" xfId="9" applyFont="1" applyBorder="1" applyAlignment="1">
      <alignment vertical="center"/>
    </xf>
    <xf numFmtId="0" fontId="25" fillId="0" borderId="1" xfId="9" applyFont="1" applyBorder="1" applyAlignment="1">
      <alignment horizontal="center" vertical="center"/>
    </xf>
    <xf numFmtId="2" fontId="25" fillId="0" borderId="1" xfId="9" applyNumberFormat="1" applyFont="1" applyBorder="1" applyAlignment="1">
      <alignment horizontal="center" vertical="center"/>
    </xf>
    <xf numFmtId="0" fontId="26" fillId="0" borderId="1" xfId="9" applyFont="1" applyBorder="1" applyAlignment="1">
      <alignment vertical="center" wrapText="1"/>
    </xf>
    <xf numFmtId="2" fontId="26" fillId="0" borderId="1" xfId="9" applyNumberFormat="1" applyFont="1" applyBorder="1" applyAlignment="1">
      <alignment vertical="center" wrapText="1"/>
    </xf>
    <xf numFmtId="0" fontId="26" fillId="0" borderId="0" xfId="9" applyFont="1" applyBorder="1" applyAlignment="1">
      <alignment horizontal="left" vertical="center"/>
    </xf>
    <xf numFmtId="2" fontId="26" fillId="0" borderId="1" xfId="9" applyNumberFormat="1" applyFont="1" applyBorder="1" applyAlignment="1">
      <alignment horizontal="right" vertical="center"/>
    </xf>
    <xf numFmtId="0" fontId="26" fillId="0" borderId="2" xfId="9" applyFont="1" applyBorder="1" applyAlignment="1">
      <alignment vertical="center" wrapText="1"/>
    </xf>
    <xf numFmtId="0" fontId="26" fillId="0" borderId="2" xfId="9" applyFont="1" applyBorder="1" applyAlignment="1">
      <alignment horizontal="left" vertical="center" wrapText="1"/>
    </xf>
    <xf numFmtId="0" fontId="26" fillId="0" borderId="4" xfId="9" applyFont="1" applyBorder="1" applyAlignment="1">
      <alignment horizontal="left" vertical="center" wrapText="1"/>
    </xf>
    <xf numFmtId="0" fontId="26" fillId="0" borderId="2" xfId="9" applyFont="1" applyBorder="1" applyAlignment="1">
      <alignment horizontal="center" vertical="center" wrapText="1"/>
    </xf>
    <xf numFmtId="0" fontId="26" fillId="0" borderId="3" xfId="9" applyFont="1" applyBorder="1" applyAlignment="1">
      <alignment horizontal="center" vertical="center" wrapText="1"/>
    </xf>
    <xf numFmtId="2" fontId="25" fillId="2" borderId="4" xfId="9" applyNumberFormat="1" applyFont="1" applyFill="1" applyBorder="1" applyAlignment="1">
      <alignment vertical="center" wrapText="1"/>
    </xf>
    <xf numFmtId="0" fontId="27" fillId="0" borderId="1" xfId="9" applyFont="1" applyBorder="1" applyAlignment="1">
      <alignment vertical="center" wrapText="1"/>
    </xf>
    <xf numFmtId="2" fontId="27" fillId="0" borderId="1" xfId="9" applyNumberFormat="1" applyFont="1" applyBorder="1" applyAlignment="1">
      <alignment vertical="center" wrapText="1"/>
    </xf>
    <xf numFmtId="2" fontId="26" fillId="0" borderId="1" xfId="9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2" fontId="26" fillId="0" borderId="0" xfId="9" applyNumberFormat="1" applyFont="1" applyBorder="1" applyAlignment="1">
      <alignment vertical="center" wrapText="1"/>
    </xf>
    <xf numFmtId="2" fontId="26" fillId="0" borderId="2" xfId="9" applyNumberFormat="1" applyFont="1" applyBorder="1" applyAlignment="1">
      <alignment vertical="center" wrapText="1"/>
    </xf>
    <xf numFmtId="0" fontId="26" fillId="0" borderId="26" xfId="9" applyFont="1" applyBorder="1" applyAlignment="1">
      <alignment vertical="center" wrapText="1"/>
    </xf>
    <xf numFmtId="2" fontId="26" fillId="0" borderId="26" xfId="9" applyNumberFormat="1" applyFont="1" applyBorder="1" applyAlignment="1">
      <alignment vertical="center" wrapText="1"/>
    </xf>
    <xf numFmtId="2" fontId="28" fillId="2" borderId="4" xfId="9" applyNumberFormat="1" applyFont="1" applyFill="1" applyBorder="1" applyAlignment="1">
      <alignment vertical="center" wrapText="1"/>
    </xf>
    <xf numFmtId="2" fontId="26" fillId="0" borderId="3" xfId="9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2" fontId="26" fillId="0" borderId="4" xfId="9" applyNumberFormat="1" applyFont="1" applyBorder="1" applyAlignment="1">
      <alignment vertical="center" wrapText="1"/>
    </xf>
    <xf numFmtId="2" fontId="27" fillId="0" borderId="1" xfId="9" applyNumberFormat="1" applyFont="1" applyBorder="1" applyAlignment="1">
      <alignment horizontal="center" vertical="center" wrapText="1"/>
    </xf>
    <xf numFmtId="0" fontId="25" fillId="0" borderId="3" xfId="9" applyFont="1" applyFill="1" applyBorder="1" applyAlignment="1">
      <alignment horizontal="center" vertical="center" wrapText="1"/>
    </xf>
    <xf numFmtId="2" fontId="26" fillId="0" borderId="1" xfId="9" applyNumberFormat="1" applyFont="1" applyBorder="1" applyAlignment="1">
      <alignment horizontal="right" vertical="center" wrapText="1"/>
    </xf>
    <xf numFmtId="2" fontId="25" fillId="2" borderId="1" xfId="9" applyNumberFormat="1" applyFont="1" applyFill="1" applyBorder="1" applyAlignment="1">
      <alignment vertical="center" wrapText="1"/>
    </xf>
    <xf numFmtId="0" fontId="28" fillId="0" borderId="1" xfId="9" applyFont="1" applyBorder="1" applyAlignment="1">
      <alignment horizontal="center" vertical="center"/>
    </xf>
    <xf numFmtId="2" fontId="27" fillId="0" borderId="16" xfId="9" applyNumberFormat="1" applyFont="1" applyBorder="1" applyAlignment="1">
      <alignment horizontal="center" vertical="center" wrapText="1"/>
    </xf>
    <xf numFmtId="2" fontId="27" fillId="0" borderId="36" xfId="9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/>
    </xf>
    <xf numFmtId="2" fontId="28" fillId="0" borderId="1" xfId="0" applyNumberFormat="1" applyFont="1" applyBorder="1" applyAlignment="1">
      <alignment horizontal="right" vertical="center" wrapText="1"/>
    </xf>
    <xf numFmtId="0" fontId="26" fillId="0" borderId="3" xfId="9" applyFont="1" applyBorder="1" applyAlignment="1">
      <alignment vertical="center" wrapText="1"/>
    </xf>
    <xf numFmtId="0" fontId="27" fillId="0" borderId="26" xfId="9" applyFont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2" fontId="27" fillId="0" borderId="16" xfId="9" applyNumberFormat="1" applyFont="1" applyBorder="1" applyAlignment="1">
      <alignment vertical="center" wrapText="1"/>
    </xf>
    <xf numFmtId="2" fontId="28" fillId="0" borderId="4" xfId="0" applyNumberFormat="1" applyFont="1" applyFill="1" applyBorder="1" applyAlignment="1">
      <alignment horizontal="right" vertical="center" wrapText="1"/>
    </xf>
    <xf numFmtId="2" fontId="25" fillId="6" borderId="4" xfId="9" applyNumberFormat="1" applyFont="1" applyFill="1" applyBorder="1" applyAlignment="1">
      <alignment vertical="center" wrapText="1"/>
    </xf>
    <xf numFmtId="174" fontId="26" fillId="0" borderId="1" xfId="9" applyNumberFormat="1" applyFont="1" applyBorder="1" applyAlignment="1">
      <alignment vertical="center" wrapText="1"/>
    </xf>
    <xf numFmtId="0" fontId="29" fillId="0" borderId="1" xfId="9" applyFont="1" applyBorder="1" applyAlignment="1">
      <alignment vertical="center"/>
    </xf>
    <xf numFmtId="0" fontId="29" fillId="0" borderId="1" xfId="9" applyFont="1" applyBorder="1" applyAlignment="1">
      <alignment horizontal="center" vertical="center"/>
    </xf>
    <xf numFmtId="0" fontId="29" fillId="0" borderId="1" xfId="9" applyFont="1" applyBorder="1" applyAlignment="1">
      <alignment horizontal="right" vertical="center"/>
    </xf>
    <xf numFmtId="0" fontId="30" fillId="0" borderId="1" xfId="9" applyFont="1" applyFill="1" applyBorder="1" applyAlignment="1">
      <alignment vertical="center"/>
    </xf>
    <xf numFmtId="0" fontId="30" fillId="0" borderId="1" xfId="9" applyFont="1" applyFill="1" applyBorder="1" applyAlignment="1">
      <alignment horizontal="center" vertical="center"/>
    </xf>
    <xf numFmtId="0" fontId="30" fillId="0" borderId="1" xfId="9" applyFont="1" applyFill="1" applyBorder="1" applyAlignment="1">
      <alignment horizontal="right" vertical="center"/>
    </xf>
    <xf numFmtId="0" fontId="30" fillId="0" borderId="1" xfId="9" applyFont="1" applyFill="1" applyBorder="1" applyAlignment="1">
      <alignment horizontal="left" vertical="center"/>
    </xf>
    <xf numFmtId="0" fontId="28" fillId="0" borderId="1" xfId="9" applyFont="1" applyFill="1" applyBorder="1" applyAlignment="1">
      <alignment horizontal="left" vertical="center" wrapText="1"/>
    </xf>
    <xf numFmtId="0" fontId="28" fillId="0" borderId="1" xfId="9" applyFont="1" applyFill="1" applyBorder="1" applyAlignment="1">
      <alignment horizontal="center" vertical="center" wrapText="1"/>
    </xf>
    <xf numFmtId="0" fontId="25" fillId="0" borderId="1" xfId="9" applyFont="1" applyBorder="1" applyAlignment="1">
      <alignment vertical="center" wrapText="1"/>
    </xf>
    <xf numFmtId="0" fontId="25" fillId="0" borderId="1" xfId="9" applyFont="1" applyBorder="1" applyAlignment="1">
      <alignment horizontal="center" vertical="center" wrapText="1"/>
    </xf>
    <xf numFmtId="2" fontId="25" fillId="0" borderId="1" xfId="9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2" fontId="28" fillId="0" borderId="26" xfId="9" applyNumberFormat="1" applyFont="1" applyBorder="1" applyAlignment="1">
      <alignment horizontal="center" vertical="center"/>
    </xf>
    <xf numFmtId="2" fontId="28" fillId="0" borderId="1" xfId="9" applyNumberFormat="1" applyFont="1" applyBorder="1" applyAlignment="1">
      <alignment horizontal="center" vertical="center" wrapText="1"/>
    </xf>
    <xf numFmtId="2" fontId="28" fillId="0" borderId="1" xfId="9" applyNumberFormat="1" applyFont="1" applyBorder="1" applyAlignment="1">
      <alignment horizontal="center" vertical="center"/>
    </xf>
    <xf numFmtId="4" fontId="28" fillId="0" borderId="1" xfId="9" applyNumberFormat="1" applyFont="1" applyBorder="1" applyAlignment="1">
      <alignment horizontal="right" vertical="center"/>
    </xf>
    <xf numFmtId="4" fontId="28" fillId="0" borderId="1" xfId="9" applyNumberFormat="1" applyFont="1" applyFill="1" applyBorder="1" applyAlignment="1">
      <alignment horizontal="right" vertical="center"/>
    </xf>
    <xf numFmtId="2" fontId="28" fillId="0" borderId="1" xfId="9" applyNumberFormat="1" applyFont="1" applyFill="1" applyBorder="1" applyAlignment="1">
      <alignment horizontal="center" vertical="center"/>
    </xf>
    <xf numFmtId="2" fontId="28" fillId="0" borderId="1" xfId="9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183" fontId="28" fillId="0" borderId="1" xfId="9" applyNumberFormat="1" applyFont="1" applyFill="1" applyBorder="1" applyAlignment="1">
      <alignment horizontal="right" vertical="center"/>
    </xf>
    <xf numFmtId="2" fontId="32" fillId="0" borderId="1" xfId="9" applyNumberFormat="1" applyFont="1" applyFill="1" applyBorder="1" applyAlignment="1">
      <alignment horizontal="center" vertical="center"/>
    </xf>
    <xf numFmtId="2" fontId="32" fillId="0" borderId="1" xfId="9" applyNumberFormat="1" applyFont="1" applyFill="1" applyBorder="1" applyAlignment="1">
      <alignment horizontal="center" vertical="center" wrapText="1"/>
    </xf>
    <xf numFmtId="4" fontId="32" fillId="0" borderId="1" xfId="9" applyNumberFormat="1" applyFont="1" applyFill="1" applyBorder="1" applyAlignment="1">
      <alignment horizontal="right" vertical="center"/>
    </xf>
    <xf numFmtId="183" fontId="32" fillId="0" borderId="1" xfId="9" applyNumberFormat="1" applyFont="1" applyFill="1" applyBorder="1" applyAlignment="1">
      <alignment horizontal="right" vertical="center"/>
    </xf>
    <xf numFmtId="0" fontId="32" fillId="0" borderId="37" xfId="9" applyFont="1" applyBorder="1" applyAlignment="1">
      <alignment horizontal="center" vertical="center" wrapText="1"/>
    </xf>
    <xf numFmtId="2" fontId="32" fillId="0" borderId="37" xfId="9" applyNumberFormat="1" applyFont="1" applyBorder="1" applyAlignment="1">
      <alignment horizontal="center" vertical="center"/>
    </xf>
    <xf numFmtId="2" fontId="32" fillId="0" borderId="37" xfId="9" applyNumberFormat="1" applyFont="1" applyBorder="1" applyAlignment="1">
      <alignment horizontal="center" vertical="center" wrapText="1"/>
    </xf>
    <xf numFmtId="0" fontId="28" fillId="0" borderId="37" xfId="9" applyFont="1" applyBorder="1" applyAlignment="1">
      <alignment horizontal="center" vertical="center" wrapText="1"/>
    </xf>
    <xf numFmtId="2" fontId="28" fillId="0" borderId="37" xfId="9" applyNumberFormat="1" applyFont="1" applyBorder="1" applyAlignment="1">
      <alignment horizontal="center" vertical="center"/>
    </xf>
    <xf numFmtId="2" fontId="28" fillId="0" borderId="37" xfId="9" applyNumberFormat="1" applyFont="1" applyBorder="1" applyAlignment="1">
      <alignment horizontal="center" vertical="center" wrapText="1"/>
    </xf>
    <xf numFmtId="2" fontId="28" fillId="0" borderId="37" xfId="9" applyNumberFormat="1" applyFont="1" applyBorder="1" applyAlignment="1">
      <alignment horizontal="right" vertical="center" wrapText="1"/>
    </xf>
    <xf numFmtId="2" fontId="28" fillId="0" borderId="37" xfId="9" applyNumberFormat="1" applyFont="1" applyBorder="1" applyAlignment="1">
      <alignment horizontal="left" vertical="center" wrapText="1"/>
    </xf>
    <xf numFmtId="0" fontId="26" fillId="0" borderId="0" xfId="9" applyFont="1" applyAlignment="1">
      <alignment vertical="center"/>
    </xf>
    <xf numFmtId="2" fontId="26" fillId="0" borderId="0" xfId="9" applyNumberFormat="1" applyFont="1" applyAlignment="1">
      <alignment vertical="center"/>
    </xf>
    <xf numFmtId="0" fontId="0" fillId="13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2" fontId="3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0" fontId="0" fillId="0" borderId="1" xfId="3" applyNumberFormat="1" applyFont="1" applyFill="1" applyBorder="1" applyAlignment="1">
      <alignment vertical="center"/>
    </xf>
    <xf numFmtId="10" fontId="0" fillId="0" borderId="1" xfId="0" applyNumberFormat="1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textRotation="90"/>
    </xf>
    <xf numFmtId="0" fontId="1" fillId="2" borderId="37" xfId="0" applyFont="1" applyFill="1" applyBorder="1" applyAlignment="1">
      <alignment horizontal="center" vertical="center" textRotation="90"/>
    </xf>
    <xf numFmtId="182" fontId="0" fillId="0" borderId="0" xfId="0" applyNumberFormat="1" applyFont="1"/>
    <xf numFmtId="165" fontId="0" fillId="0" borderId="0" xfId="0" applyNumberFormat="1" applyFont="1"/>
    <xf numFmtId="180" fontId="0" fillId="0" borderId="0" xfId="0" applyNumberFormat="1" applyFont="1"/>
    <xf numFmtId="10" fontId="0" fillId="0" borderId="0" xfId="3" applyNumberFormat="1" applyFont="1"/>
    <xf numFmtId="10" fontId="0" fillId="0" borderId="0" xfId="0" applyNumberFormat="1" applyFont="1"/>
    <xf numFmtId="0" fontId="0" fillId="0" borderId="0" xfId="0" applyAlignment="1">
      <alignment vertical="top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23" fillId="2" borderId="4" xfId="9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10" fontId="24" fillId="0" borderId="1" xfId="3" applyNumberFormat="1" applyFont="1" applyBorder="1" applyAlignment="1">
      <alignment horizontal="right" vertical="center"/>
    </xf>
    <xf numFmtId="10" fontId="24" fillId="0" borderId="1" xfId="0" applyNumberFormat="1" applyFont="1" applyBorder="1" applyAlignment="1">
      <alignment horizontal="right"/>
    </xf>
    <xf numFmtId="4" fontId="24" fillId="0" borderId="1" xfId="0" applyNumberFormat="1" applyFont="1" applyBorder="1" applyAlignment="1">
      <alignment horizontal="right"/>
    </xf>
    <xf numFmtId="4" fontId="24" fillId="0" borderId="0" xfId="0" applyNumberFormat="1" applyFont="1" applyAlignment="1">
      <alignment horizontal="left"/>
    </xf>
    <xf numFmtId="0" fontId="24" fillId="16" borderId="1" xfId="0" applyFont="1" applyFill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10" fontId="24" fillId="0" borderId="1" xfId="0" applyNumberFormat="1" applyFont="1" applyBorder="1" applyAlignment="1">
      <alignment horizontal="right" vertical="center"/>
    </xf>
    <xf numFmtId="10" fontId="24" fillId="0" borderId="1" xfId="0" applyNumberFormat="1" applyFont="1" applyFill="1" applyBorder="1" applyAlignment="1">
      <alignment horizontal="right" vertical="center"/>
    </xf>
    <xf numFmtId="0" fontId="24" fillId="16" borderId="1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0" fontId="36" fillId="0" borderId="0" xfId="0" applyFont="1"/>
    <xf numFmtId="0" fontId="0" fillId="0" borderId="0" xfId="0" applyBorder="1"/>
    <xf numFmtId="0" fontId="24" fillId="16" borderId="1" xfId="0" applyFont="1" applyFill="1" applyBorder="1" applyAlignment="1">
      <alignment horizontal="center" vertical="center"/>
    </xf>
    <xf numFmtId="10" fontId="24" fillId="0" borderId="1" xfId="3" applyNumberFormat="1" applyFont="1" applyBorder="1" applyAlignment="1">
      <alignment horizontal="right" vertical="top"/>
    </xf>
    <xf numFmtId="10" fontId="24" fillId="0" borderId="1" xfId="0" applyNumberFormat="1" applyFont="1" applyBorder="1" applyAlignment="1">
      <alignment horizontal="right" vertical="top"/>
    </xf>
    <xf numFmtId="0" fontId="24" fillId="0" borderId="0" xfId="0" applyFont="1" applyAlignment="1">
      <alignment horizontal="left" vertical="top"/>
    </xf>
    <xf numFmtId="0" fontId="0" fillId="0" borderId="0" xfId="0" applyBorder="1" applyAlignment="1">
      <alignment vertical="top"/>
    </xf>
    <xf numFmtId="4" fontId="24" fillId="0" borderId="1" xfId="0" applyNumberFormat="1" applyFont="1" applyBorder="1" applyAlignment="1">
      <alignment horizontal="right" vertical="top"/>
    </xf>
    <xf numFmtId="0" fontId="24" fillId="16" borderId="1" xfId="0" applyFont="1" applyFill="1" applyBorder="1" applyAlignment="1">
      <alignment horizontal="center" vertical="top"/>
    </xf>
    <xf numFmtId="10" fontId="24" fillId="0" borderId="1" xfId="0" applyNumberFormat="1" applyFont="1" applyBorder="1" applyAlignment="1">
      <alignment horizontal="center" vertical="center"/>
    </xf>
    <xf numFmtId="10" fontId="0" fillId="0" borderId="0" xfId="0" applyNumberFormat="1" applyBorder="1"/>
    <xf numFmtId="4" fontId="24" fillId="0" borderId="1" xfId="0" applyNumberFormat="1" applyFont="1" applyBorder="1"/>
    <xf numFmtId="4" fontId="24" fillId="0" borderId="0" xfId="0" applyNumberFormat="1" applyFont="1" applyFill="1"/>
    <xf numFmtId="0" fontId="24" fillId="0" borderId="0" xfId="0" applyFont="1" applyFill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/>
    <xf numFmtId="10" fontId="24" fillId="0" borderId="0" xfId="3" applyNumberFormat="1" applyFont="1" applyFill="1" applyBorder="1" applyAlignment="1">
      <alignment horizontal="right" vertical="center"/>
    </xf>
    <xf numFmtId="2" fontId="36" fillId="0" borderId="0" xfId="0" applyNumberFormat="1" applyFont="1" applyBorder="1"/>
    <xf numFmtId="0" fontId="37" fillId="0" borderId="0" xfId="0" applyFont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2" fontId="25" fillId="2" borderId="1" xfId="0" applyNumberFormat="1" applyFont="1" applyFill="1" applyBorder="1" applyAlignment="1">
      <alignment horizontal="center" vertical="center"/>
    </xf>
    <xf numFmtId="183" fontId="21" fillId="0" borderId="0" xfId="0" applyNumberFormat="1" applyFont="1" applyAlignment="1">
      <alignment vertical="center"/>
    </xf>
    <xf numFmtId="0" fontId="28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/>
    </xf>
    <xf numFmtId="2" fontId="28" fillId="2" borderId="1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right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2" fontId="28" fillId="0" borderId="1" xfId="0" applyNumberFormat="1" applyFont="1" applyFill="1" applyBorder="1" applyAlignment="1">
      <alignment horizontal="right" vertical="center" wrapText="1"/>
    </xf>
    <xf numFmtId="4" fontId="28" fillId="0" borderId="1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left" vertical="center" wrapText="1"/>
    </xf>
    <xf numFmtId="2" fontId="28" fillId="11" borderId="1" xfId="0" applyNumberFormat="1" applyFont="1" applyFill="1" applyBorder="1" applyAlignment="1">
      <alignment horizontal="right" vertical="center" wrapText="1"/>
    </xf>
    <xf numFmtId="183" fontId="37" fillId="0" borderId="0" xfId="0" applyNumberFormat="1" applyFont="1" applyAlignment="1">
      <alignment vertical="center"/>
    </xf>
    <xf numFmtId="4" fontId="25" fillId="0" borderId="1" xfId="0" applyNumberFormat="1" applyFont="1" applyFill="1" applyBorder="1" applyAlignment="1">
      <alignment horizontal="left" vertical="center"/>
    </xf>
    <xf numFmtId="0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11" borderId="1" xfId="0" applyFont="1" applyFill="1" applyBorder="1" applyAlignment="1">
      <alignment horizontal="right" vertical="center" wrapText="1"/>
    </xf>
    <xf numFmtId="4" fontId="28" fillId="0" borderId="1" xfId="0" applyNumberFormat="1" applyFont="1" applyBorder="1" applyAlignment="1">
      <alignment horizontal="right" vertical="center"/>
    </xf>
    <xf numFmtId="0" fontId="28" fillId="0" borderId="1" xfId="0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vertical="center"/>
    </xf>
    <xf numFmtId="2" fontId="28" fillId="2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left" vertical="center" wrapText="1"/>
    </xf>
    <xf numFmtId="2" fontId="28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4" fontId="28" fillId="11" borderId="1" xfId="0" applyNumberFormat="1" applyFont="1" applyFill="1" applyBorder="1" applyAlignment="1">
      <alignment horizontal="right" vertical="center" wrapText="1"/>
    </xf>
    <xf numFmtId="4" fontId="37" fillId="0" borderId="0" xfId="0" applyNumberFormat="1" applyFont="1" applyAlignment="1">
      <alignment vertical="center"/>
    </xf>
    <xf numFmtId="49" fontId="25" fillId="0" borderId="1" xfId="0" applyNumberFormat="1" applyFont="1" applyFill="1" applyBorder="1" applyAlignment="1">
      <alignment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28" fillId="17" borderId="1" xfId="0" applyNumberFormat="1" applyFont="1" applyFill="1" applyBorder="1" applyAlignment="1">
      <alignment horizontal="center" vertical="center"/>
    </xf>
    <xf numFmtId="0" fontId="25" fillId="17" borderId="1" xfId="0" applyFont="1" applyFill="1" applyBorder="1" applyAlignment="1">
      <alignment horizontal="center" vertical="center"/>
    </xf>
    <xf numFmtId="0" fontId="25" fillId="17" borderId="1" xfId="0" applyFont="1" applyFill="1" applyBorder="1" applyAlignment="1">
      <alignment vertical="center" wrapText="1"/>
    </xf>
    <xf numFmtId="0" fontId="28" fillId="17" borderId="1" xfId="0" applyFont="1" applyFill="1" applyBorder="1" applyAlignment="1">
      <alignment horizontal="center" vertical="center"/>
    </xf>
    <xf numFmtId="2" fontId="28" fillId="17" borderId="1" xfId="0" applyNumberFormat="1" applyFont="1" applyFill="1" applyBorder="1" applyAlignment="1">
      <alignment vertical="center"/>
    </xf>
    <xf numFmtId="4" fontId="25" fillId="17" borderId="1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right" vertical="center" wrapText="1"/>
    </xf>
    <xf numFmtId="0" fontId="25" fillId="17" borderId="1" xfId="0" applyNumberFormat="1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left" vertical="center" wrapText="1"/>
    </xf>
    <xf numFmtId="2" fontId="25" fillId="17" borderId="1" xfId="0" applyNumberFormat="1" applyFont="1" applyFill="1" applyBorder="1" applyAlignment="1">
      <alignment horizontal="right" vertical="center" wrapText="1"/>
    </xf>
    <xf numFmtId="0" fontId="25" fillId="17" borderId="1" xfId="0" applyFont="1" applyFill="1" applyBorder="1" applyAlignment="1">
      <alignment horizontal="righ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0" fontId="28" fillId="10" borderId="1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vertical="center" wrapText="1"/>
    </xf>
    <xf numFmtId="2" fontId="28" fillId="10" borderId="1" xfId="0" applyNumberFormat="1" applyFont="1" applyFill="1" applyBorder="1" applyAlignment="1">
      <alignment vertical="center"/>
    </xf>
    <xf numFmtId="4" fontId="25" fillId="10" borderId="1" xfId="0" applyNumberFormat="1" applyFont="1" applyFill="1" applyBorder="1" applyAlignment="1">
      <alignment horizontal="right" vertical="center"/>
    </xf>
    <xf numFmtId="2" fontId="25" fillId="2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9" fontId="28" fillId="0" borderId="1" xfId="3" applyFont="1" applyBorder="1" applyAlignment="1">
      <alignment horizontal="right" vertical="center"/>
    </xf>
    <xf numFmtId="4" fontId="28" fillId="11" borderId="1" xfId="0" applyNumberFormat="1" applyFont="1" applyFill="1" applyBorder="1" applyAlignment="1">
      <alignment horizontal="right" vertical="center"/>
    </xf>
    <xf numFmtId="0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173" fontId="0" fillId="0" borderId="0" xfId="3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2" fontId="28" fillId="0" borderId="1" xfId="0" applyNumberFormat="1" applyFont="1" applyFill="1" applyBorder="1" applyAlignment="1">
      <alignment horizontal="right" vertical="center"/>
    </xf>
    <xf numFmtId="0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4" fillId="0" borderId="14" xfId="0" applyNumberFormat="1" applyFont="1" applyBorder="1" applyAlignment="1">
      <alignment horizontal="center" vertical="top" wrapText="1"/>
    </xf>
    <xf numFmtId="0" fontId="24" fillId="0" borderId="14" xfId="0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173" fontId="0" fillId="0" borderId="0" xfId="3" applyNumberFormat="1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3" fillId="2" borderId="2" xfId="9" applyNumberFormat="1" applyFont="1" applyFill="1" applyBorder="1" applyAlignment="1">
      <alignment horizontal="left" vertical="center" wrapText="1"/>
    </xf>
    <xf numFmtId="0" fontId="23" fillId="2" borderId="3" xfId="9" applyFont="1" applyFill="1" applyBorder="1" applyAlignment="1">
      <alignment horizontal="left" vertical="center" wrapText="1"/>
    </xf>
    <xf numFmtId="0" fontId="23" fillId="2" borderId="4" xfId="9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5" fillId="2" borderId="2" xfId="0" applyNumberFormat="1" applyFont="1" applyFill="1" applyBorder="1" applyAlignment="1">
      <alignment horizontal="right" vertical="center"/>
    </xf>
    <xf numFmtId="0" fontId="25" fillId="2" borderId="3" xfId="0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right" vertical="center"/>
    </xf>
    <xf numFmtId="181" fontId="25" fillId="2" borderId="2" xfId="0" applyNumberFormat="1" applyFont="1" applyFill="1" applyBorder="1" applyAlignment="1">
      <alignment horizontal="center" vertical="center"/>
    </xf>
    <xf numFmtId="181" fontId="25" fillId="2" borderId="4" xfId="0" applyNumberFormat="1" applyFont="1" applyFill="1" applyBorder="1" applyAlignment="1">
      <alignment horizontal="center" vertical="center"/>
    </xf>
    <xf numFmtId="0" fontId="24" fillId="0" borderId="2" xfId="0" applyNumberFormat="1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0" xfId="0" applyNumberFormat="1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23" fillId="2" borderId="2" xfId="9" applyFont="1" applyFill="1" applyBorder="1" applyAlignment="1">
      <alignment vertical="center" wrapText="1"/>
    </xf>
    <xf numFmtId="0" fontId="23" fillId="2" borderId="3" xfId="9" applyFont="1" applyFill="1" applyBorder="1" applyAlignment="1">
      <alignment vertical="center" wrapText="1"/>
    </xf>
    <xf numFmtId="0" fontId="23" fillId="2" borderId="4" xfId="9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37" xfId="0" applyFont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4" fontId="24" fillId="0" borderId="26" xfId="0" applyNumberFormat="1" applyFont="1" applyFill="1" applyBorder="1" applyAlignment="1">
      <alignment horizontal="right" vertical="center"/>
    </xf>
    <xf numFmtId="4" fontId="24" fillId="0" borderId="38" xfId="0" applyNumberFormat="1" applyFont="1" applyFill="1" applyBorder="1" applyAlignment="1">
      <alignment horizontal="right" vertical="center"/>
    </xf>
    <xf numFmtId="4" fontId="24" fillId="0" borderId="37" xfId="0" applyNumberFormat="1" applyFont="1" applyFill="1" applyBorder="1" applyAlignment="1">
      <alignment horizontal="right" vertical="center"/>
    </xf>
    <xf numFmtId="4" fontId="24" fillId="0" borderId="26" xfId="0" applyNumberFormat="1" applyFont="1" applyBorder="1" applyAlignment="1">
      <alignment horizontal="right" vertical="center"/>
    </xf>
    <xf numFmtId="4" fontId="24" fillId="0" borderId="38" xfId="0" applyNumberFormat="1" applyFont="1" applyBorder="1" applyAlignment="1">
      <alignment horizontal="right" vertical="center"/>
    </xf>
    <xf numFmtId="4" fontId="24" fillId="0" borderId="37" xfId="0" applyNumberFormat="1" applyFont="1" applyBorder="1" applyAlignment="1">
      <alignment horizontal="right" vertical="center"/>
    </xf>
    <xf numFmtId="4" fontId="24" fillId="0" borderId="26" xfId="0" applyNumberFormat="1" applyFont="1" applyBorder="1" applyAlignment="1">
      <alignment horizontal="right" vertical="top"/>
    </xf>
    <xf numFmtId="4" fontId="24" fillId="0" borderId="38" xfId="0" applyNumberFormat="1" applyFont="1" applyBorder="1" applyAlignment="1">
      <alignment horizontal="right" vertical="top"/>
    </xf>
    <xf numFmtId="4" fontId="24" fillId="0" borderId="37" xfId="0" applyNumberFormat="1" applyFont="1" applyBorder="1" applyAlignment="1">
      <alignment horizontal="right" vertical="top"/>
    </xf>
    <xf numFmtId="0" fontId="1" fillId="2" borderId="3" xfId="0" applyFont="1" applyFill="1" applyBorder="1" applyAlignment="1">
      <alignment horizontal="center" vertical="center" wrapText="1"/>
    </xf>
    <xf numFmtId="2" fontId="34" fillId="2" borderId="2" xfId="0" applyNumberFormat="1" applyFont="1" applyFill="1" applyBorder="1" applyAlignment="1">
      <alignment horizontal="center" vertical="center"/>
    </xf>
    <xf numFmtId="2" fontId="34" fillId="2" borderId="4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/>
    </xf>
    <xf numFmtId="0" fontId="34" fillId="2" borderId="37" xfId="0" applyFont="1" applyFill="1" applyBorder="1" applyAlignment="1">
      <alignment horizontal="center" vertical="center"/>
    </xf>
    <xf numFmtId="2" fontId="34" fillId="2" borderId="26" xfId="0" applyNumberFormat="1" applyFont="1" applyFill="1" applyBorder="1" applyAlignment="1">
      <alignment horizontal="center" vertical="center"/>
    </xf>
    <xf numFmtId="2" fontId="34" fillId="2" borderId="37" xfId="0" applyNumberFormat="1" applyFont="1" applyFill="1" applyBorder="1" applyAlignment="1">
      <alignment horizontal="center" vertical="center"/>
    </xf>
    <xf numFmtId="2" fontId="34" fillId="2" borderId="26" xfId="0" applyNumberFormat="1" applyFont="1" applyFill="1" applyBorder="1" applyAlignment="1">
      <alignment horizontal="center" vertical="center" wrapText="1"/>
    </xf>
    <xf numFmtId="2" fontId="34" fillId="2" borderId="37" xfId="0" applyNumberFormat="1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textRotation="255"/>
    </xf>
    <xf numFmtId="0" fontId="0" fillId="0" borderId="38" xfId="0" applyFont="1" applyBorder="1" applyAlignment="1">
      <alignment horizontal="center" vertical="center" textRotation="255"/>
    </xf>
    <xf numFmtId="0" fontId="0" fillId="0" borderId="37" xfId="0" applyFont="1" applyFill="1" applyBorder="1" applyAlignment="1">
      <alignment horizontal="center" vertical="center" textRotation="255"/>
    </xf>
    <xf numFmtId="0" fontId="35" fillId="14" borderId="14" xfId="0" applyFont="1" applyFill="1" applyBorder="1" applyAlignment="1">
      <alignment horizontal="center" vertical="center" textRotation="255"/>
    </xf>
    <xf numFmtId="0" fontId="35" fillId="14" borderId="0" xfId="0" applyFont="1" applyFill="1" applyAlignment="1">
      <alignment horizontal="center" vertical="center" textRotation="255"/>
    </xf>
    <xf numFmtId="0" fontId="35" fillId="15" borderId="14" xfId="0" applyFont="1" applyFill="1" applyBorder="1" applyAlignment="1">
      <alignment horizontal="center" vertical="center" textRotation="255"/>
    </xf>
    <xf numFmtId="0" fontId="35" fillId="15" borderId="0" xfId="0" applyFont="1" applyFill="1" applyAlignment="1">
      <alignment horizontal="center" vertical="center" textRotation="255"/>
    </xf>
    <xf numFmtId="0" fontId="23" fillId="2" borderId="2" xfId="9" applyFont="1" applyFill="1" applyBorder="1" applyAlignment="1">
      <alignment horizontal="left" vertical="center" wrapText="1"/>
    </xf>
    <xf numFmtId="0" fontId="25" fillId="2" borderId="2" xfId="9" applyFont="1" applyFill="1" applyBorder="1" applyAlignment="1">
      <alignment horizontal="left" vertical="center"/>
    </xf>
    <xf numFmtId="0" fontId="25" fillId="2" borderId="3" xfId="9" applyFont="1" applyFill="1" applyBorder="1" applyAlignment="1">
      <alignment horizontal="left" vertical="center"/>
    </xf>
    <xf numFmtId="0" fontId="25" fillId="2" borderId="4" xfId="9" applyFont="1" applyFill="1" applyBorder="1" applyAlignment="1">
      <alignment horizontal="left" vertical="center"/>
    </xf>
    <xf numFmtId="0" fontId="25" fillId="2" borderId="2" xfId="9" applyFont="1" applyFill="1" applyBorder="1" applyAlignment="1">
      <alignment horizontal="center" vertical="center" wrapText="1"/>
    </xf>
    <xf numFmtId="0" fontId="25" fillId="2" borderId="3" xfId="9" applyFont="1" applyFill="1" applyBorder="1" applyAlignment="1">
      <alignment horizontal="center" vertical="center" wrapText="1"/>
    </xf>
    <xf numFmtId="0" fontId="25" fillId="2" borderId="4" xfId="9" applyFont="1" applyFill="1" applyBorder="1" applyAlignment="1">
      <alignment horizontal="center" vertical="center" wrapText="1"/>
    </xf>
    <xf numFmtId="0" fontId="25" fillId="0" borderId="2" xfId="9" applyFont="1" applyBorder="1" applyAlignment="1">
      <alignment horizontal="left" vertical="center"/>
    </xf>
    <xf numFmtId="0" fontId="25" fillId="0" borderId="4" xfId="9" applyFont="1" applyBorder="1" applyAlignment="1">
      <alignment horizontal="left" vertical="center"/>
    </xf>
    <xf numFmtId="0" fontId="27" fillId="0" borderId="2" xfId="9" applyFont="1" applyBorder="1" applyAlignment="1">
      <alignment horizontal="left" vertical="center" wrapText="1"/>
    </xf>
    <xf numFmtId="0" fontId="27" fillId="0" borderId="4" xfId="9" applyFont="1" applyBorder="1" applyAlignment="1">
      <alignment horizontal="left" vertical="center" wrapText="1"/>
    </xf>
    <xf numFmtId="0" fontId="26" fillId="0" borderId="1" xfId="9" applyFont="1" applyBorder="1" applyAlignment="1">
      <alignment vertical="center" wrapText="1"/>
    </xf>
    <xf numFmtId="0" fontId="26" fillId="0" borderId="2" xfId="9" applyFont="1" applyBorder="1" applyAlignment="1">
      <alignment vertical="center" wrapText="1"/>
    </xf>
    <xf numFmtId="0" fontId="26" fillId="0" borderId="4" xfId="9" applyFont="1" applyBorder="1" applyAlignment="1">
      <alignment vertical="center" wrapText="1"/>
    </xf>
    <xf numFmtId="0" fontId="26" fillId="0" borderId="2" xfId="9" applyFont="1" applyBorder="1" applyAlignment="1">
      <alignment horizontal="left" vertical="center" wrapText="1"/>
    </xf>
    <xf numFmtId="0" fontId="26" fillId="0" borderId="4" xfId="9" applyFont="1" applyBorder="1" applyAlignment="1">
      <alignment horizontal="left" vertical="center" wrapText="1"/>
    </xf>
    <xf numFmtId="0" fontId="26" fillId="0" borderId="2" xfId="9" applyFont="1" applyBorder="1" applyAlignment="1">
      <alignment horizontal="center" vertical="center" wrapText="1"/>
    </xf>
    <xf numFmtId="0" fontId="26" fillId="0" borderId="3" xfId="9" applyFont="1" applyBorder="1" applyAlignment="1">
      <alignment horizontal="center" vertical="center" wrapText="1"/>
    </xf>
    <xf numFmtId="0" fontId="26" fillId="0" borderId="4" xfId="9" applyFont="1" applyBorder="1" applyAlignment="1">
      <alignment horizontal="center" vertical="center" wrapText="1"/>
    </xf>
    <xf numFmtId="2" fontId="27" fillId="0" borderId="13" xfId="9" applyNumberFormat="1" applyFont="1" applyBorder="1" applyAlignment="1">
      <alignment horizontal="center" vertical="center" wrapText="1"/>
    </xf>
    <xf numFmtId="2" fontId="27" fillId="0" borderId="17" xfId="9" applyNumberFormat="1" applyFont="1" applyBorder="1" applyAlignment="1">
      <alignment horizontal="center" vertical="center" wrapText="1"/>
    </xf>
    <xf numFmtId="2" fontId="26" fillId="0" borderId="1" xfId="9" applyNumberFormat="1" applyFont="1" applyBorder="1" applyAlignment="1">
      <alignment horizontal="center" vertical="center" wrapText="1"/>
    </xf>
    <xf numFmtId="0" fontId="27" fillId="0" borderId="15" xfId="9" applyFont="1" applyBorder="1" applyAlignment="1">
      <alignment horizontal="left" vertical="center" wrapText="1"/>
    </xf>
    <xf numFmtId="0" fontId="27" fillId="0" borderId="34" xfId="9" applyFont="1" applyBorder="1" applyAlignment="1">
      <alignment horizontal="left" vertical="center" wrapText="1"/>
    </xf>
    <xf numFmtId="0" fontId="25" fillId="0" borderId="2" xfId="9" applyFont="1" applyBorder="1" applyAlignment="1">
      <alignment horizontal="center" vertical="center"/>
    </xf>
    <xf numFmtId="0" fontId="25" fillId="0" borderId="4" xfId="9" applyFont="1" applyBorder="1" applyAlignment="1">
      <alignment horizontal="center" vertical="center"/>
    </xf>
    <xf numFmtId="0" fontId="25" fillId="0" borderId="3" xfId="9" applyFont="1" applyFill="1" applyBorder="1" applyAlignment="1">
      <alignment horizontal="center" vertical="center" wrapText="1"/>
    </xf>
    <xf numFmtId="2" fontId="26" fillId="0" borderId="2" xfId="9" applyNumberFormat="1" applyFont="1" applyBorder="1" applyAlignment="1">
      <alignment horizontal="left" vertical="center" wrapText="1"/>
    </xf>
    <xf numFmtId="2" fontId="26" fillId="0" borderId="3" xfId="9" applyNumberFormat="1" applyFont="1" applyBorder="1" applyAlignment="1">
      <alignment horizontal="left" vertical="center" wrapText="1"/>
    </xf>
    <xf numFmtId="2" fontId="26" fillId="0" borderId="4" xfId="9" applyNumberFormat="1" applyFont="1" applyBorder="1" applyAlignment="1">
      <alignment horizontal="left" vertical="center" wrapText="1"/>
    </xf>
    <xf numFmtId="0" fontId="25" fillId="0" borderId="1" xfId="9" applyFont="1" applyBorder="1" applyAlignment="1">
      <alignment horizontal="left" vertical="center"/>
    </xf>
    <xf numFmtId="0" fontId="25" fillId="2" borderId="1" xfId="9" applyFont="1" applyFill="1" applyBorder="1" applyAlignment="1">
      <alignment horizontal="right" vertical="center" wrapText="1"/>
    </xf>
    <xf numFmtId="2" fontId="27" fillId="0" borderId="35" xfId="9" applyNumberFormat="1" applyFont="1" applyBorder="1" applyAlignment="1">
      <alignment horizontal="center" vertical="center" wrapText="1"/>
    </xf>
    <xf numFmtId="2" fontId="27" fillId="0" borderId="16" xfId="9" applyNumberFormat="1" applyFont="1" applyBorder="1" applyAlignment="1">
      <alignment horizontal="center" vertical="center" wrapText="1"/>
    </xf>
    <xf numFmtId="2" fontId="27" fillId="0" borderId="36" xfId="9" applyNumberFormat="1" applyFont="1" applyBorder="1" applyAlignment="1">
      <alignment horizontal="center" vertical="center" wrapText="1"/>
    </xf>
    <xf numFmtId="0" fontId="25" fillId="6" borderId="2" xfId="9" applyFont="1" applyFill="1" applyBorder="1" applyAlignment="1">
      <alignment horizontal="center" vertical="center" wrapText="1"/>
    </xf>
    <xf numFmtId="0" fontId="25" fillId="6" borderId="4" xfId="9" applyFont="1" applyFill="1" applyBorder="1" applyAlignment="1">
      <alignment horizontal="center" vertical="center" wrapText="1"/>
    </xf>
    <xf numFmtId="0" fontId="29" fillId="10" borderId="2" xfId="9" applyFont="1" applyFill="1" applyBorder="1" applyAlignment="1">
      <alignment horizontal="left" vertical="center"/>
    </xf>
    <xf numFmtId="0" fontId="29" fillId="10" borderId="3" xfId="9" applyFont="1" applyFill="1" applyBorder="1" applyAlignment="1">
      <alignment horizontal="left" vertical="center"/>
    </xf>
    <xf numFmtId="0" fontId="29" fillId="10" borderId="4" xfId="9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0" borderId="27" xfId="0" applyFont="1" applyBorder="1" applyAlignment="1">
      <alignment horizontal="center"/>
    </xf>
    <xf numFmtId="0" fontId="17" fillId="2" borderId="28" xfId="0" applyFont="1" applyFill="1" applyBorder="1" applyAlignment="1">
      <alignment horizontal="left" vertical="center" wrapText="1"/>
    </xf>
    <xf numFmtId="0" fontId="17" fillId="2" borderId="29" xfId="0" applyFont="1" applyFill="1" applyBorder="1" applyAlignment="1">
      <alignment horizontal="left" vertical="center" wrapText="1"/>
    </xf>
    <xf numFmtId="0" fontId="17" fillId="2" borderId="30" xfId="0" applyFont="1" applyFill="1" applyBorder="1" applyAlignment="1">
      <alignment horizontal="left" vertical="center" wrapText="1"/>
    </xf>
    <xf numFmtId="4" fontId="19" fillId="2" borderId="7" xfId="0" applyNumberFormat="1" applyFont="1" applyFill="1" applyBorder="1" applyAlignment="1">
      <alignment horizontal="center" vertical="center" wrapText="1"/>
    </xf>
    <xf numFmtId="4" fontId="19" fillId="2" borderId="32" xfId="0" applyNumberFormat="1" applyFont="1" applyFill="1" applyBorder="1" applyAlignment="1">
      <alignment horizontal="center" vertical="center" wrapText="1"/>
    </xf>
    <xf numFmtId="4" fontId="19" fillId="2" borderId="33" xfId="0" applyNumberFormat="1" applyFont="1" applyFill="1" applyBorder="1" applyAlignment="1">
      <alignment horizontal="center" vertical="center" wrapText="1"/>
    </xf>
    <xf numFmtId="4" fontId="19" fillId="2" borderId="10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4" fillId="8" borderId="13" xfId="0" applyFont="1" applyFill="1" applyBorder="1" applyAlignment="1">
      <alignment horizontal="left"/>
    </xf>
    <xf numFmtId="0" fontId="14" fillId="8" borderId="14" xfId="0" applyFont="1" applyFill="1" applyBorder="1" applyAlignment="1">
      <alignment horizontal="left"/>
    </xf>
    <xf numFmtId="0" fontId="14" fillId="8" borderId="17" xfId="0" applyFont="1" applyFill="1" applyBorder="1" applyAlignment="1">
      <alignment horizontal="left"/>
    </xf>
    <xf numFmtId="0" fontId="14" fillId="8" borderId="0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8" fillId="5" borderId="7" xfId="5" applyFont="1" applyFill="1" applyBorder="1" applyAlignment="1" applyProtection="1">
      <alignment horizontal="center" vertical="center" wrapText="1"/>
    </xf>
    <xf numFmtId="0" fontId="7" fillId="0" borderId="8" xfId="5" applyFont="1" applyFill="1" applyBorder="1" applyAlignment="1" applyProtection="1">
      <alignment horizontal="center" vertical="center"/>
    </xf>
    <xf numFmtId="0" fontId="9" fillId="0" borderId="9" xfId="5" applyFont="1" applyFill="1" applyBorder="1" applyAlignment="1" applyProtection="1">
      <alignment horizontal="center"/>
    </xf>
    <xf numFmtId="0" fontId="9" fillId="0" borderId="10" xfId="5" applyFont="1" applyFill="1" applyBorder="1" applyAlignment="1" applyProtection="1">
      <alignment horizontal="center"/>
    </xf>
    <xf numFmtId="0" fontId="7" fillId="0" borderId="7" xfId="5" applyFont="1" applyFill="1" applyBorder="1" applyAlignment="1" applyProtection="1">
      <alignment horizontal="center"/>
    </xf>
    <xf numFmtId="0" fontId="7" fillId="0" borderId="9" xfId="5" applyFont="1" applyFill="1" applyBorder="1" applyAlignment="1" applyProtection="1">
      <alignment horizontal="center"/>
    </xf>
    <xf numFmtId="0" fontId="7" fillId="0" borderId="8" xfId="5" applyFont="1" applyFill="1" applyBorder="1" applyAlignment="1" applyProtection="1">
      <alignment horizontal="right"/>
    </xf>
    <xf numFmtId="0" fontId="7" fillId="0" borderId="8" xfId="5" applyFont="1" applyFill="1" applyBorder="1" applyAlignment="1" applyProtection="1">
      <alignment horizontal="center"/>
    </xf>
    <xf numFmtId="0" fontId="9" fillId="0" borderId="8" xfId="5" applyFont="1" applyFill="1" applyBorder="1" applyAlignment="1" applyProtection="1">
      <alignment wrapText="1"/>
    </xf>
    <xf numFmtId="0" fontId="9" fillId="0" borderId="8" xfId="5" applyFont="1" applyFill="1" applyBorder="1" applyAlignment="1" applyProtection="1"/>
    <xf numFmtId="0" fontId="10" fillId="0" borderId="0" xfId="5" applyFont="1" applyFill="1" applyAlignment="1" applyProtection="1">
      <alignment wrapText="1"/>
    </xf>
    <xf numFmtId="0" fontId="10" fillId="0" borderId="0" xfId="5" applyFont="1" applyFill="1" applyAlignment="1" applyProtection="1">
      <alignment horizontal="left" wrapText="1"/>
    </xf>
    <xf numFmtId="0" fontId="9" fillId="0" borderId="5" xfId="5" applyFont="1" applyFill="1" applyBorder="1" applyAlignment="1" applyProtection="1">
      <alignment horizontal="center" vertical="center"/>
    </xf>
    <xf numFmtId="175" fontId="9" fillId="0" borderId="6" xfId="5" applyNumberFormat="1" applyFont="1" applyFill="1" applyBorder="1" applyAlignment="1" applyProtection="1">
      <alignment horizontal="center" vertical="center"/>
    </xf>
    <xf numFmtId="49" fontId="9" fillId="0" borderId="11" xfId="5" applyNumberFormat="1" applyFont="1" applyFill="1" applyBorder="1" applyAlignment="1" applyProtection="1">
      <alignment horizontal="left" vertical="center"/>
    </xf>
    <xf numFmtId="49" fontId="9" fillId="0" borderId="11" xfId="5" applyNumberFormat="1" applyFont="1" applyFill="1" applyBorder="1" applyAlignment="1" applyProtection="1">
      <alignment horizontal="center" vertical="center"/>
    </xf>
    <xf numFmtId="0" fontId="8" fillId="5" borderId="5" xfId="5" applyFont="1" applyFill="1" applyBorder="1" applyAlignment="1" applyProtection="1">
      <alignment horizontal="right" vertical="center"/>
    </xf>
    <xf numFmtId="10" fontId="8" fillId="5" borderId="11" xfId="5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7" fillId="0" borderId="8" xfId="5" applyFont="1" applyFill="1" applyBorder="1" applyAlignment="1" applyProtection="1">
      <alignment horizontal="center" vertical="center" wrapText="1"/>
    </xf>
    <xf numFmtId="0" fontId="10" fillId="0" borderId="0" xfId="5" applyFont="1" applyFill="1" applyAlignment="1" applyProtection="1">
      <alignment horizontal="left" vertical="center" wrapText="1"/>
    </xf>
    <xf numFmtId="0" fontId="2" fillId="2" borderId="1" xfId="8" applyFont="1" applyFill="1" applyBorder="1" applyAlignment="1">
      <alignment horizontal="center" vertical="center"/>
    </xf>
    <xf numFmtId="0" fontId="1" fillId="0" borderId="2" xfId="8" applyFont="1" applyBorder="1" applyAlignment="1">
      <alignment horizontal="center"/>
    </xf>
    <xf numFmtId="0" fontId="1" fillId="0" borderId="3" xfId="8" applyFont="1" applyBorder="1" applyAlignment="1">
      <alignment horizontal="center"/>
    </xf>
    <xf numFmtId="0" fontId="1" fillId="0" borderId="4" xfId="8" applyFont="1" applyBorder="1" applyAlignment="1">
      <alignment horizontal="center"/>
    </xf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horizontal="right" vertical="top"/>
    </xf>
    <xf numFmtId="0" fontId="3" fillId="0" borderId="0" xfId="0" applyFont="1" applyAlignment="1">
      <alignment horizontal="left" wrapText="1"/>
    </xf>
  </cellXfs>
  <cellStyles count="11">
    <cellStyle name="Normal" xfId="0" builtinId="0"/>
    <cellStyle name="Normal 11" xfId="10"/>
    <cellStyle name="Normal 19" xfId="8"/>
    <cellStyle name="Normal 2" xfId="9"/>
    <cellStyle name="Normal 2 10" xfId="5"/>
    <cellStyle name="Normal_aPlanilha Orçamentária Modelo" xfId="6"/>
    <cellStyle name="Normal_Orçamento_Sinalização Viária" xfId="7"/>
    <cellStyle name="Porcentagem" xfId="3" builtinId="5"/>
    <cellStyle name="Separador de milhares" xfId="1" builtinId="3"/>
    <cellStyle name="TableStyleLight1" xfId="4"/>
    <cellStyle name="Vírgula 7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19"/>
  <sheetViews>
    <sheetView tabSelected="1" view="pageBreakPreview" topLeftCell="A187" zoomScale="85" zoomScaleNormal="130" zoomScaleSheetLayoutView="85" workbookViewId="0">
      <selection activeCell="F211" sqref="F211:G211"/>
    </sheetView>
  </sheetViews>
  <sheetFormatPr defaultColWidth="9.140625" defaultRowHeight="15.95" customHeight="1"/>
  <cols>
    <col min="1" max="1" width="9" style="305" customWidth="1"/>
    <col min="2" max="2" width="5.5703125" style="240" customWidth="1"/>
    <col min="3" max="3" width="44.7109375" style="306" customWidth="1"/>
    <col min="4" max="4" width="4.7109375" style="240" customWidth="1"/>
    <col min="5" max="5" width="7" style="240" customWidth="1"/>
    <col min="6" max="6" width="8.42578125" style="240" customWidth="1"/>
    <col min="7" max="7" width="10" style="240" customWidth="1"/>
    <col min="8" max="8" width="13.28515625" style="99" customWidth="1"/>
    <col min="9" max="9" width="12.28515625" style="99" customWidth="1"/>
    <col min="10" max="16384" width="9.140625" style="99"/>
  </cols>
  <sheetData>
    <row r="1" spans="1:13" ht="3" customHeight="1"/>
    <row r="2" spans="1:13" ht="15.95" customHeight="1">
      <c r="A2" s="394" t="s">
        <v>0</v>
      </c>
      <c r="B2" s="395"/>
      <c r="C2" s="395"/>
      <c r="D2" s="395"/>
      <c r="E2" s="395"/>
      <c r="F2" s="395"/>
      <c r="G2" s="395"/>
      <c r="H2" s="307"/>
      <c r="I2" s="307"/>
      <c r="J2" s="307"/>
      <c r="K2" s="307"/>
      <c r="L2" s="307"/>
      <c r="M2" s="307"/>
    </row>
    <row r="3" spans="1:13" ht="3.95" customHeight="1">
      <c r="A3" s="308"/>
      <c r="B3" s="241"/>
      <c r="C3" s="242"/>
      <c r="D3" s="241"/>
      <c r="E3" s="241"/>
      <c r="F3" s="241"/>
      <c r="G3" s="241"/>
      <c r="H3" s="307"/>
      <c r="I3" s="307"/>
      <c r="J3" s="307"/>
      <c r="K3" s="307"/>
      <c r="L3" s="307"/>
      <c r="M3" s="307"/>
    </row>
    <row r="4" spans="1:13" ht="24" customHeight="1">
      <c r="A4" s="396" t="s">
        <v>1</v>
      </c>
      <c r="B4" s="397"/>
      <c r="C4" s="397"/>
      <c r="D4" s="397"/>
      <c r="E4" s="397"/>
      <c r="F4" s="397"/>
      <c r="G4" s="398"/>
    </row>
    <row r="5" spans="1:13" ht="3.95" customHeight="1">
      <c r="A5" s="308"/>
      <c r="B5" s="241"/>
      <c r="C5" s="242"/>
      <c r="D5" s="241"/>
      <c r="E5" s="241"/>
      <c r="F5" s="309"/>
      <c r="G5" s="241"/>
    </row>
    <row r="6" spans="1:13" ht="15">
      <c r="A6" s="399" t="s">
        <v>2</v>
      </c>
      <c r="B6" s="400"/>
      <c r="C6" s="400"/>
      <c r="D6" s="400"/>
      <c r="E6" s="400"/>
      <c r="F6" s="400"/>
      <c r="G6" s="401"/>
    </row>
    <row r="7" spans="1:13" ht="3.95" customHeight="1">
      <c r="A7" s="310"/>
      <c r="B7" s="311"/>
      <c r="C7" s="312"/>
      <c r="D7" s="267"/>
      <c r="E7" s="267"/>
      <c r="F7" s="267"/>
      <c r="G7" s="267"/>
    </row>
    <row r="8" spans="1:13" ht="15.95" customHeight="1">
      <c r="A8" s="402" t="s">
        <v>3</v>
      </c>
      <c r="B8" s="403"/>
      <c r="C8" s="404"/>
      <c r="D8" s="395" t="s">
        <v>4</v>
      </c>
      <c r="E8" s="395"/>
      <c r="F8" s="395"/>
      <c r="G8" s="395"/>
    </row>
    <row r="9" spans="1:13" ht="6" customHeight="1">
      <c r="A9" s="310"/>
      <c r="B9" s="267"/>
      <c r="C9" s="313"/>
      <c r="D9" s="267"/>
      <c r="E9" s="267"/>
      <c r="F9" s="267"/>
      <c r="G9" s="267"/>
    </row>
    <row r="10" spans="1:13" s="158" customFormat="1" ht="15.95" customHeight="1">
      <c r="A10" s="314" t="s">
        <v>5</v>
      </c>
      <c r="B10" s="315" t="s">
        <v>6</v>
      </c>
      <c r="C10" s="316" t="s">
        <v>7</v>
      </c>
      <c r="D10" s="315" t="s">
        <v>8</v>
      </c>
      <c r="E10" s="317" t="s">
        <v>9</v>
      </c>
      <c r="F10" s="317" t="s">
        <v>10</v>
      </c>
      <c r="G10" s="317" t="s">
        <v>11</v>
      </c>
      <c r="H10" s="318"/>
    </row>
    <row r="11" spans="1:13" s="158" customFormat="1" ht="12.75">
      <c r="A11" s="319"/>
      <c r="B11" s="315">
        <v>1</v>
      </c>
      <c r="C11" s="320" t="s">
        <v>12</v>
      </c>
      <c r="D11" s="321"/>
      <c r="E11" s="322"/>
      <c r="F11" s="322"/>
      <c r="G11" s="323">
        <f>SUM(G13:G23)</f>
        <v>24100.69</v>
      </c>
      <c r="H11" s="318"/>
    </row>
    <row r="12" spans="1:13" s="158" customFormat="1" ht="12.75">
      <c r="A12" s="324"/>
      <c r="B12" s="325" t="s">
        <v>13</v>
      </c>
      <c r="C12" s="326" t="s">
        <v>14</v>
      </c>
      <c r="D12" s="327"/>
      <c r="E12" s="328"/>
      <c r="F12" s="329"/>
      <c r="G12" s="330"/>
      <c r="H12" s="318"/>
    </row>
    <row r="13" spans="1:13" s="304" customFormat="1" ht="33.75">
      <c r="A13" s="324" t="s">
        <v>15</v>
      </c>
      <c r="B13" s="327" t="s">
        <v>16</v>
      </c>
      <c r="C13" s="331" t="s">
        <v>17</v>
      </c>
      <c r="D13" s="327" t="s">
        <v>18</v>
      </c>
      <c r="E13" s="328">
        <f>'PB VI - MEMÓRIA DE CÁLCULO'!G17</f>
        <v>5.18</v>
      </c>
      <c r="F13" s="332">
        <v>300.52999999999997</v>
      </c>
      <c r="G13" s="330">
        <f>ROUND(E13*F13,2)</f>
        <v>1556.75</v>
      </c>
      <c r="H13" s="333"/>
    </row>
    <row r="14" spans="1:13" s="304" customFormat="1" ht="12">
      <c r="A14" s="324">
        <v>93212</v>
      </c>
      <c r="B14" s="327" t="s">
        <v>19</v>
      </c>
      <c r="C14" s="331" t="s">
        <v>20</v>
      </c>
      <c r="D14" s="327" t="s">
        <v>18</v>
      </c>
      <c r="E14" s="328">
        <f>'PB VI - MEMÓRIA DE CÁLCULO'!G18</f>
        <v>15</v>
      </c>
      <c r="F14" s="332">
        <v>560.17999999999995</v>
      </c>
      <c r="G14" s="330">
        <f t="shared" ref="G14:G18" si="0">ROUND(E14*F14,2)</f>
        <v>8402.7000000000007</v>
      </c>
      <c r="H14" s="333"/>
    </row>
    <row r="15" spans="1:13" s="304" customFormat="1" ht="12">
      <c r="A15" s="324" t="s">
        <v>21</v>
      </c>
      <c r="B15" s="327" t="s">
        <v>22</v>
      </c>
      <c r="C15" s="331" t="s">
        <v>23</v>
      </c>
      <c r="D15" s="327" t="s">
        <v>18</v>
      </c>
      <c r="E15" s="328">
        <f>'PB VI - MEMÓRIA DE CÁLCULO'!G19</f>
        <v>12</v>
      </c>
      <c r="F15" s="332">
        <v>569.4</v>
      </c>
      <c r="G15" s="330">
        <f t="shared" si="0"/>
        <v>6832.8</v>
      </c>
      <c r="H15" s="333"/>
    </row>
    <row r="16" spans="1:13" s="304" customFormat="1" ht="12">
      <c r="A16" s="324">
        <v>93210</v>
      </c>
      <c r="B16" s="327" t="s">
        <v>24</v>
      </c>
      <c r="C16" s="331" t="s">
        <v>25</v>
      </c>
      <c r="D16" s="327" t="s">
        <v>18</v>
      </c>
      <c r="E16" s="328">
        <f>'PB VI - MEMÓRIA DE CÁLCULO'!G20</f>
        <v>15</v>
      </c>
      <c r="F16" s="332">
        <v>343.54</v>
      </c>
      <c r="G16" s="330">
        <f t="shared" si="0"/>
        <v>5153.1000000000004</v>
      </c>
      <c r="H16" s="333"/>
    </row>
    <row r="17" spans="1:8" s="304" customFormat="1" ht="22.5">
      <c r="A17" s="324" t="str">
        <f>'PB VIII - Comp. Auxiliares'!A8</f>
        <v>COMP. 01 - DPE</v>
      </c>
      <c r="B17" s="327" t="s">
        <v>26</v>
      </c>
      <c r="C17" s="331" t="s">
        <v>27</v>
      </c>
      <c r="D17" s="327" t="s">
        <v>28</v>
      </c>
      <c r="E17" s="328">
        <v>1</v>
      </c>
      <c r="F17" s="329">
        <f>'PB VIII - Comp. Auxiliares'!F13</f>
        <v>179.57</v>
      </c>
      <c r="G17" s="330">
        <f t="shared" si="0"/>
        <v>179.57</v>
      </c>
      <c r="H17" s="333"/>
    </row>
    <row r="18" spans="1:8" s="304" customFormat="1" ht="12">
      <c r="A18" s="324">
        <v>41598</v>
      </c>
      <c r="B18" s="327" t="s">
        <v>29</v>
      </c>
      <c r="C18" s="331" t="s">
        <v>30</v>
      </c>
      <c r="D18" s="327" t="s">
        <v>28</v>
      </c>
      <c r="E18" s="328">
        <v>1</v>
      </c>
      <c r="F18" s="332">
        <v>1208.9100000000001</v>
      </c>
      <c r="G18" s="330">
        <f t="shared" si="0"/>
        <v>1208.9100000000001</v>
      </c>
      <c r="H18" s="333"/>
    </row>
    <row r="19" spans="1:8" s="304" customFormat="1" ht="12">
      <c r="A19" s="324"/>
      <c r="B19" s="327"/>
      <c r="C19" s="331"/>
      <c r="D19" s="327"/>
      <c r="E19" s="328"/>
      <c r="F19" s="332"/>
      <c r="G19" s="330"/>
      <c r="H19" s="333"/>
    </row>
    <row r="20" spans="1:8" s="304" customFormat="1" ht="12">
      <c r="A20" s="324"/>
      <c r="B20" s="325" t="s">
        <v>31</v>
      </c>
      <c r="C20" s="334" t="s">
        <v>32</v>
      </c>
      <c r="D20" s="327"/>
      <c r="E20" s="328"/>
      <c r="F20" s="332"/>
      <c r="G20" s="330"/>
      <c r="H20" s="333"/>
    </row>
    <row r="21" spans="1:8" s="304" customFormat="1" ht="15.95" customHeight="1">
      <c r="A21" s="335" t="s">
        <v>33</v>
      </c>
      <c r="B21" s="336" t="s">
        <v>34</v>
      </c>
      <c r="C21" s="337" t="s">
        <v>35</v>
      </c>
      <c r="D21" s="336" t="s">
        <v>18</v>
      </c>
      <c r="E21" s="329">
        <f>'PB VI - MEMÓRIA DE CÁLCULO'!G118</f>
        <v>226.18</v>
      </c>
      <c r="F21" s="338">
        <v>1.49</v>
      </c>
      <c r="G21" s="339">
        <f>ROUND(E21*F21,2)</f>
        <v>337.01</v>
      </c>
      <c r="H21" s="333"/>
    </row>
    <row r="22" spans="1:8" s="304" customFormat="1" ht="15.95" customHeight="1">
      <c r="A22" s="324" t="s">
        <v>33</v>
      </c>
      <c r="B22" s="336" t="s">
        <v>36</v>
      </c>
      <c r="C22" s="340" t="s">
        <v>37</v>
      </c>
      <c r="D22" s="327" t="s">
        <v>18</v>
      </c>
      <c r="E22" s="329">
        <f>'PB VI - MEMÓRIA DE CÁLCULO'!G126</f>
        <v>44.49</v>
      </c>
      <c r="F22" s="338">
        <v>1.49</v>
      </c>
      <c r="G22" s="330">
        <f>ROUND(E22*F22,2)</f>
        <v>66.290000000000006</v>
      </c>
      <c r="H22" s="333"/>
    </row>
    <row r="23" spans="1:8" s="304" customFormat="1" ht="12">
      <c r="A23" s="324" t="s">
        <v>33</v>
      </c>
      <c r="B23" s="336" t="s">
        <v>38</v>
      </c>
      <c r="C23" s="341" t="s">
        <v>39</v>
      </c>
      <c r="D23" s="327" t="s">
        <v>18</v>
      </c>
      <c r="E23" s="328">
        <f>'PB VI - MEMÓRIA DE CÁLCULO'!G11</f>
        <v>244</v>
      </c>
      <c r="F23" s="332">
        <v>1.49</v>
      </c>
      <c r="G23" s="330">
        <f>ROUND(E23*F23,2)</f>
        <v>363.56</v>
      </c>
      <c r="H23" s="333"/>
    </row>
    <row r="24" spans="1:8" s="304" customFormat="1" ht="12">
      <c r="A24" s="324"/>
      <c r="B24" s="327"/>
      <c r="C24" s="330"/>
      <c r="D24" s="327"/>
      <c r="E24" s="328"/>
      <c r="F24" s="332"/>
      <c r="G24" s="330"/>
      <c r="H24" s="333"/>
    </row>
    <row r="25" spans="1:8" s="304" customFormat="1" ht="12.75">
      <c r="A25" s="319"/>
      <c r="B25" s="315">
        <v>2</v>
      </c>
      <c r="C25" s="320" t="s">
        <v>40</v>
      </c>
      <c r="D25" s="321"/>
      <c r="E25" s="342"/>
      <c r="F25" s="342"/>
      <c r="G25" s="323">
        <f>SUM(G26:G35)</f>
        <v>5586.8</v>
      </c>
      <c r="H25" s="318"/>
    </row>
    <row r="26" spans="1:8" s="304" customFormat="1" ht="15.95" customHeight="1">
      <c r="A26" s="335">
        <v>85372</v>
      </c>
      <c r="B26" s="336" t="s">
        <v>41</v>
      </c>
      <c r="C26" s="337" t="s">
        <v>42</v>
      </c>
      <c r="D26" s="336" t="s">
        <v>18</v>
      </c>
      <c r="E26" s="329">
        <f>'PB VI - MEMÓRIA DE CÁLCULO'!G43</f>
        <v>180.05</v>
      </c>
      <c r="F26" s="338">
        <v>2.1800000000000002</v>
      </c>
      <c r="G26" s="339">
        <f t="shared" ref="G26:G32" si="1">ROUND(E26*F26,2)</f>
        <v>392.51</v>
      </c>
      <c r="H26" s="333"/>
    </row>
    <row r="27" spans="1:8" s="304" customFormat="1" ht="12">
      <c r="A27" s="335" t="s">
        <v>43</v>
      </c>
      <c r="B27" s="336" t="s">
        <v>44</v>
      </c>
      <c r="C27" s="337" t="s">
        <v>45</v>
      </c>
      <c r="D27" s="327" t="s">
        <v>46</v>
      </c>
      <c r="E27" s="329">
        <f>'PB VI - MEMÓRIA DE CÁLCULO'!G49</f>
        <v>1.99</v>
      </c>
      <c r="F27" s="338">
        <v>83.37</v>
      </c>
      <c r="G27" s="339">
        <f t="shared" si="1"/>
        <v>165.91</v>
      </c>
      <c r="H27" s="333"/>
    </row>
    <row r="28" spans="1:8" s="304" customFormat="1" ht="12">
      <c r="A28" s="335">
        <v>85333</v>
      </c>
      <c r="B28" s="336" t="s">
        <v>47</v>
      </c>
      <c r="C28" s="337" t="s">
        <v>48</v>
      </c>
      <c r="D28" s="336" t="s">
        <v>28</v>
      </c>
      <c r="E28" s="329">
        <f>'PB VI - MEMÓRIA DE CÁLCULO'!F57</f>
        <v>7</v>
      </c>
      <c r="F28" s="338">
        <v>17.87</v>
      </c>
      <c r="G28" s="339">
        <f t="shared" si="1"/>
        <v>125.09</v>
      </c>
      <c r="H28" s="333"/>
    </row>
    <row r="29" spans="1:8" s="304" customFormat="1" ht="12">
      <c r="A29" s="335">
        <v>85333</v>
      </c>
      <c r="B29" s="336" t="s">
        <v>49</v>
      </c>
      <c r="C29" s="337" t="s">
        <v>50</v>
      </c>
      <c r="D29" s="336" t="s">
        <v>28</v>
      </c>
      <c r="E29" s="329">
        <f>'PB VI - MEMÓRIA DE CÁLCULO'!G57</f>
        <v>7</v>
      </c>
      <c r="F29" s="338">
        <v>17.87</v>
      </c>
      <c r="G29" s="339">
        <f t="shared" si="1"/>
        <v>125.09</v>
      </c>
      <c r="H29" s="333"/>
    </row>
    <row r="30" spans="1:8" s="304" customFormat="1" ht="12">
      <c r="A30" s="335">
        <v>85333</v>
      </c>
      <c r="B30" s="336" t="s">
        <v>51</v>
      </c>
      <c r="C30" s="337" t="s">
        <v>52</v>
      </c>
      <c r="D30" s="336" t="s">
        <v>28</v>
      </c>
      <c r="E30" s="329">
        <f>'PB VI - MEMÓRIA DE CÁLCULO'!E57</f>
        <v>2</v>
      </c>
      <c r="F30" s="338">
        <v>17.87</v>
      </c>
      <c r="G30" s="339">
        <f t="shared" ref="G30" si="2">ROUND(E30*F30,2)</f>
        <v>35.74</v>
      </c>
      <c r="H30" s="333"/>
    </row>
    <row r="31" spans="1:8" s="304" customFormat="1" ht="12">
      <c r="A31" s="324">
        <v>85407</v>
      </c>
      <c r="B31" s="336" t="s">
        <v>53</v>
      </c>
      <c r="C31" s="340" t="s">
        <v>54</v>
      </c>
      <c r="D31" s="327" t="s">
        <v>55</v>
      </c>
      <c r="E31" s="329">
        <f>'PB VI - MEMÓRIA DE CÁLCULO'!G65</f>
        <v>327.60000000000002</v>
      </c>
      <c r="F31" s="338">
        <v>9.91</v>
      </c>
      <c r="G31" s="330">
        <f t="shared" si="1"/>
        <v>3246.52</v>
      </c>
      <c r="H31" s="333"/>
    </row>
    <row r="32" spans="1:8" s="304" customFormat="1" ht="12">
      <c r="A32" s="324">
        <v>85416</v>
      </c>
      <c r="B32" s="336" t="s">
        <v>56</v>
      </c>
      <c r="C32" s="340" t="s">
        <v>57</v>
      </c>
      <c r="D32" s="327" t="s">
        <v>28</v>
      </c>
      <c r="E32" s="329">
        <f>'PB VI - MEMÓRIA DE CÁLCULO'!G73</f>
        <v>78</v>
      </c>
      <c r="F32" s="338">
        <v>13.54</v>
      </c>
      <c r="G32" s="330">
        <f t="shared" si="1"/>
        <v>1056.1199999999999</v>
      </c>
      <c r="H32" s="333"/>
    </row>
    <row r="33" spans="1:9" s="304" customFormat="1" ht="12">
      <c r="A33" s="335">
        <v>85334</v>
      </c>
      <c r="B33" s="336" t="s">
        <v>58</v>
      </c>
      <c r="C33" s="337" t="s">
        <v>59</v>
      </c>
      <c r="D33" s="336" t="s">
        <v>18</v>
      </c>
      <c r="E33" s="329">
        <f>'PB VI - MEMÓRIA DE CÁLCULO'!G77</f>
        <v>2.2949999999999999</v>
      </c>
      <c r="F33" s="338">
        <v>14.55</v>
      </c>
      <c r="G33" s="339">
        <f t="shared" ref="G33:G35" si="3">ROUND(E33*F33,2)</f>
        <v>33.39</v>
      </c>
      <c r="H33" s="333"/>
    </row>
    <row r="34" spans="1:9" s="304" customFormat="1" ht="22.5">
      <c r="A34" s="335" t="str">
        <f>'PB VIII - Comp. Auxiliares'!A15</f>
        <v>COMP. 02 - DPE</v>
      </c>
      <c r="B34" s="336" t="s">
        <v>60</v>
      </c>
      <c r="C34" s="337" t="s">
        <v>61</v>
      </c>
      <c r="D34" s="336" t="s">
        <v>28</v>
      </c>
      <c r="E34" s="329">
        <v>2</v>
      </c>
      <c r="F34" s="328">
        <f>'PB VIII - Comp. Auxiliares'!F19</f>
        <v>61.05</v>
      </c>
      <c r="G34" s="339">
        <f t="shared" si="3"/>
        <v>122.1</v>
      </c>
      <c r="H34" s="333"/>
    </row>
    <row r="35" spans="1:9" s="304" customFormat="1" ht="22.5">
      <c r="A35" s="335" t="str">
        <f>'PB VIII - Comp. Auxiliares'!A21</f>
        <v>COMP. 03 - DPE</v>
      </c>
      <c r="B35" s="336" t="s">
        <v>62</v>
      </c>
      <c r="C35" s="337" t="str">
        <f>'PB VIII - Comp. Auxiliares'!B21</f>
        <v>Remoção de Poste e Transformador</v>
      </c>
      <c r="D35" s="336" t="s">
        <v>28</v>
      </c>
      <c r="E35" s="329">
        <v>1</v>
      </c>
      <c r="F35" s="328">
        <f>'PB VIII - Comp. Auxiliares'!F26</f>
        <v>284.33</v>
      </c>
      <c r="G35" s="339">
        <f t="shared" si="3"/>
        <v>284.33</v>
      </c>
      <c r="H35" s="333"/>
    </row>
    <row r="36" spans="1:9" s="304" customFormat="1" ht="12">
      <c r="A36" s="335"/>
      <c r="B36" s="336"/>
      <c r="C36" s="337"/>
      <c r="D36" s="336"/>
      <c r="E36" s="195"/>
      <c r="F36" s="338"/>
      <c r="G36" s="339"/>
      <c r="H36" s="333"/>
    </row>
    <row r="37" spans="1:9" s="304" customFormat="1" ht="12.75">
      <c r="A37" s="319"/>
      <c r="B37" s="315">
        <v>3</v>
      </c>
      <c r="C37" s="320" t="s">
        <v>63</v>
      </c>
      <c r="D37" s="321"/>
      <c r="E37" s="342"/>
      <c r="F37" s="342"/>
      <c r="G37" s="323">
        <f>ROUND(G38+G39,2)</f>
        <v>4388.76</v>
      </c>
      <c r="H37" s="318"/>
      <c r="I37" s="349"/>
    </row>
    <row r="38" spans="1:9" s="304" customFormat="1" ht="33.75">
      <c r="A38" s="335">
        <v>89168</v>
      </c>
      <c r="B38" s="336" t="s">
        <v>64</v>
      </c>
      <c r="C38" s="343" t="s">
        <v>65</v>
      </c>
      <c r="D38" s="336" t="s">
        <v>18</v>
      </c>
      <c r="E38" s="329">
        <f>'PB VI - MEMÓRIA DE CÁLCULO'!G82</f>
        <v>6.75</v>
      </c>
      <c r="F38" s="332">
        <v>63.19</v>
      </c>
      <c r="G38" s="344">
        <f>E38*F38</f>
        <v>426.53250000000003</v>
      </c>
      <c r="H38" s="333"/>
    </row>
    <row r="39" spans="1:9" s="304" customFormat="1" ht="12">
      <c r="A39" s="335">
        <v>79627</v>
      </c>
      <c r="B39" s="336" t="s">
        <v>66</v>
      </c>
      <c r="C39" s="343" t="s">
        <v>67</v>
      </c>
      <c r="D39" s="336" t="s">
        <v>18</v>
      </c>
      <c r="E39" s="329">
        <f>'PB VI - MEMÓRIA DE CÁLCULO'!G86</f>
        <v>6.66</v>
      </c>
      <c r="F39" s="332">
        <v>594.92999999999995</v>
      </c>
      <c r="G39" s="344">
        <f>ROUND(E39*F39,2)</f>
        <v>3962.23</v>
      </c>
      <c r="H39" s="333"/>
    </row>
    <row r="40" spans="1:9" s="304" customFormat="1" ht="12">
      <c r="A40" s="335"/>
      <c r="B40" s="336"/>
      <c r="C40" s="343"/>
      <c r="D40" s="336"/>
      <c r="E40" s="195"/>
      <c r="F40" s="338"/>
      <c r="G40" s="339"/>
      <c r="H40" s="333"/>
    </row>
    <row r="41" spans="1:9" s="304" customFormat="1" ht="12.75">
      <c r="A41" s="319"/>
      <c r="B41" s="315">
        <v>4</v>
      </c>
      <c r="C41" s="320" t="s">
        <v>68</v>
      </c>
      <c r="D41" s="321"/>
      <c r="E41" s="342"/>
      <c r="F41" s="342"/>
      <c r="G41" s="323">
        <f>SUM(G42:G45)</f>
        <v>1108.3699999999999</v>
      </c>
      <c r="H41" s="318"/>
    </row>
    <row r="42" spans="1:9" s="304" customFormat="1" ht="22.5">
      <c r="A42" s="335">
        <v>87879</v>
      </c>
      <c r="B42" s="336" t="s">
        <v>69</v>
      </c>
      <c r="C42" s="343" t="s">
        <v>70</v>
      </c>
      <c r="D42" s="336" t="s">
        <v>18</v>
      </c>
      <c r="E42" s="329">
        <f>'PB VI - MEMÓRIA DE CÁLCULO'!G91</f>
        <v>13.5</v>
      </c>
      <c r="F42" s="332">
        <v>3.25</v>
      </c>
      <c r="G42" s="339">
        <f>ROUND(E42*F42,2)</f>
        <v>43.88</v>
      </c>
      <c r="H42" s="333"/>
    </row>
    <row r="43" spans="1:9" s="304" customFormat="1" ht="45">
      <c r="A43" s="335">
        <v>87529</v>
      </c>
      <c r="B43" s="336" t="s">
        <v>71</v>
      </c>
      <c r="C43" s="343" t="s">
        <v>72</v>
      </c>
      <c r="D43" s="336" t="s">
        <v>18</v>
      </c>
      <c r="E43" s="329">
        <f>'PB VI - MEMÓRIA DE CÁLCULO'!G92</f>
        <v>13.5</v>
      </c>
      <c r="F43" s="332">
        <v>26.69</v>
      </c>
      <c r="G43" s="339">
        <f>ROUND(E43*F43,2)</f>
        <v>360.32</v>
      </c>
      <c r="H43" s="333"/>
    </row>
    <row r="44" spans="1:9" s="304" customFormat="1" ht="22.5">
      <c r="A44" s="335">
        <v>93392</v>
      </c>
      <c r="B44" s="336" t="s">
        <v>73</v>
      </c>
      <c r="C44" s="343" t="s">
        <v>74</v>
      </c>
      <c r="D44" s="336" t="s">
        <v>18</v>
      </c>
      <c r="E44" s="329">
        <f>'PB VI - MEMÓRIA DE CÁLCULO'!G93</f>
        <v>8.1</v>
      </c>
      <c r="F44" s="332">
        <v>34.11</v>
      </c>
      <c r="G44" s="339">
        <f t="shared" ref="G44:G45" si="4">ROUND(E44*F44,2)</f>
        <v>276.29000000000002</v>
      </c>
      <c r="H44" s="333"/>
    </row>
    <row r="45" spans="1:9" s="304" customFormat="1" ht="22.5">
      <c r="A45" s="335" t="s">
        <v>75</v>
      </c>
      <c r="B45" s="336" t="s">
        <v>76</v>
      </c>
      <c r="C45" s="343" t="s">
        <v>77</v>
      </c>
      <c r="D45" s="336" t="s">
        <v>18</v>
      </c>
      <c r="E45" s="329">
        <f>'PB VI - MEMÓRIA DE CÁLCULO'!G94</f>
        <v>10.74</v>
      </c>
      <c r="F45" s="332">
        <v>39.840000000000003</v>
      </c>
      <c r="G45" s="339">
        <f t="shared" si="4"/>
        <v>427.88</v>
      </c>
      <c r="H45" s="333"/>
    </row>
    <row r="46" spans="1:9" s="304" customFormat="1" ht="12">
      <c r="A46" s="335"/>
      <c r="B46" s="336"/>
      <c r="C46" s="343"/>
      <c r="D46" s="336"/>
      <c r="E46" s="195"/>
      <c r="F46" s="332"/>
      <c r="G46" s="339"/>
      <c r="H46" s="333"/>
    </row>
    <row r="47" spans="1:9" s="304" customFormat="1" ht="12.75">
      <c r="A47" s="319"/>
      <c r="B47" s="315">
        <v>5</v>
      </c>
      <c r="C47" s="320" t="s">
        <v>78</v>
      </c>
      <c r="D47" s="321"/>
      <c r="E47" s="342"/>
      <c r="F47" s="342"/>
      <c r="G47" s="323">
        <f>SUM(G48:G56)</f>
        <v>17737.78</v>
      </c>
      <c r="H47" s="318"/>
    </row>
    <row r="48" spans="1:9" s="304" customFormat="1" ht="12">
      <c r="A48" s="324"/>
      <c r="B48" s="345" t="s">
        <v>13</v>
      </c>
      <c r="C48" s="346" t="s">
        <v>79</v>
      </c>
      <c r="D48" s="336"/>
      <c r="E48" s="195"/>
      <c r="F48" s="332"/>
      <c r="G48" s="339"/>
      <c r="H48" s="333"/>
    </row>
    <row r="49" spans="1:8" s="304" customFormat="1" ht="22.5">
      <c r="A49" s="324" t="str">
        <f>'PB VIII - Comp. Auxiliares'!A28</f>
        <v>COMP. 04 - DPE</v>
      </c>
      <c r="B49" s="336" t="s">
        <v>80</v>
      </c>
      <c r="C49" s="343" t="s">
        <v>81</v>
      </c>
      <c r="D49" s="336" t="s">
        <v>18</v>
      </c>
      <c r="E49" s="329">
        <f>'PB VI - MEMÓRIA DE CÁLCULO'!G145+'PB VI - MEMÓRIA DE CÁLCULO'!G110-'PB VI - MEMÓRIA DE CÁLCULO'!G82</f>
        <v>509.42599999999999</v>
      </c>
      <c r="F49" s="329">
        <f>'PB VIII - Comp. Auxiliares'!F32</f>
        <v>2.8</v>
      </c>
      <c r="G49" s="339">
        <f t="shared" ref="G49:G55" si="5">ROUND(E49*F49,2)</f>
        <v>1426.39</v>
      </c>
      <c r="H49" s="333"/>
    </row>
    <row r="50" spans="1:8" s="304" customFormat="1" ht="12">
      <c r="A50" s="324" t="s">
        <v>82</v>
      </c>
      <c r="B50" s="336" t="s">
        <v>83</v>
      </c>
      <c r="C50" s="343" t="s">
        <v>84</v>
      </c>
      <c r="D50" s="336" t="s">
        <v>18</v>
      </c>
      <c r="E50" s="329">
        <f>'PB VI - MEMÓRIA DE CÁLCULO'!G145+'PB VI - MEMÓRIA DE CÁLCULO'!G110</f>
        <v>516.17600000000004</v>
      </c>
      <c r="F50" s="332">
        <v>1.66</v>
      </c>
      <c r="G50" s="339">
        <f t="shared" si="5"/>
        <v>856.85</v>
      </c>
      <c r="H50" s="333"/>
    </row>
    <row r="51" spans="1:8" s="304" customFormat="1" ht="22.5">
      <c r="A51" s="324">
        <v>88497</v>
      </c>
      <c r="B51" s="336" t="s">
        <v>85</v>
      </c>
      <c r="C51" s="343" t="s">
        <v>86</v>
      </c>
      <c r="D51" s="336" t="s">
        <v>18</v>
      </c>
      <c r="E51" s="329">
        <f>'PB VI - MEMÓRIA DE CÁLCULO'!G110+'PB VI - MEMÓRIA DE CÁLCULO'!G145</f>
        <v>516.17600000000004</v>
      </c>
      <c r="F51" s="332">
        <v>10.32</v>
      </c>
      <c r="G51" s="339">
        <f t="shared" si="5"/>
        <v>5326.94</v>
      </c>
      <c r="H51" s="333"/>
    </row>
    <row r="52" spans="1:8" s="304" customFormat="1" ht="22.5">
      <c r="A52" s="324" t="s">
        <v>87</v>
      </c>
      <c r="B52" s="336" t="s">
        <v>88</v>
      </c>
      <c r="C52" s="343" t="s">
        <v>89</v>
      </c>
      <c r="D52" s="336" t="s">
        <v>18</v>
      </c>
      <c r="E52" s="329">
        <f>E51</f>
        <v>516.17600000000004</v>
      </c>
      <c r="F52" s="332">
        <v>9.68</v>
      </c>
      <c r="G52" s="339">
        <f t="shared" si="5"/>
        <v>4996.58</v>
      </c>
      <c r="H52" s="333"/>
    </row>
    <row r="53" spans="1:8" s="304" customFormat="1" ht="22.5">
      <c r="A53" s="335">
        <v>88489</v>
      </c>
      <c r="B53" s="336" t="s">
        <v>90</v>
      </c>
      <c r="C53" s="343" t="s">
        <v>91</v>
      </c>
      <c r="D53" s="336" t="s">
        <v>18</v>
      </c>
      <c r="E53" s="329">
        <f>'PB VI - MEMÓRIA DE CÁLCULO'!G118</f>
        <v>226.18</v>
      </c>
      <c r="F53" s="332">
        <v>9.68</v>
      </c>
      <c r="G53" s="339">
        <f t="shared" si="5"/>
        <v>2189.42</v>
      </c>
      <c r="H53" s="333"/>
    </row>
    <row r="54" spans="1:8" s="304" customFormat="1" ht="22.5">
      <c r="A54" s="335" t="s">
        <v>92</v>
      </c>
      <c r="B54" s="336" t="s">
        <v>93</v>
      </c>
      <c r="C54" s="343" t="s">
        <v>94</v>
      </c>
      <c r="D54" s="336" t="s">
        <v>18</v>
      </c>
      <c r="E54" s="329">
        <f>'PB VI - MEMÓRIA DE CÁLCULO'!G126</f>
        <v>44.49</v>
      </c>
      <c r="F54" s="332">
        <v>12.41</v>
      </c>
      <c r="G54" s="339">
        <f t="shared" si="5"/>
        <v>552.12</v>
      </c>
      <c r="H54" s="333"/>
    </row>
    <row r="55" spans="1:8" s="304" customFormat="1" ht="12">
      <c r="A55" s="335" t="s">
        <v>95</v>
      </c>
      <c r="B55" s="336" t="s">
        <v>96</v>
      </c>
      <c r="C55" s="343" t="s">
        <v>97</v>
      </c>
      <c r="D55" s="336" t="s">
        <v>18</v>
      </c>
      <c r="E55" s="329">
        <f>'PB VI - MEMÓRIA DE CÁLCULO'!G182+'PB VI - MEMÓRIA DE CÁLCULO'!G183</f>
        <v>1.96</v>
      </c>
      <c r="F55" s="332">
        <v>14.06</v>
      </c>
      <c r="G55" s="339">
        <f t="shared" si="5"/>
        <v>27.56</v>
      </c>
      <c r="H55" s="333"/>
    </row>
    <row r="56" spans="1:8" s="304" customFormat="1" ht="22.5">
      <c r="A56" s="335">
        <v>88489</v>
      </c>
      <c r="B56" s="336" t="s">
        <v>98</v>
      </c>
      <c r="C56" s="343" t="s">
        <v>99</v>
      </c>
      <c r="D56" s="336" t="s">
        <v>18</v>
      </c>
      <c r="E56" s="329">
        <f>'PB VI - MEMÓRIA DE CÁLCULO'!G11</f>
        <v>244</v>
      </c>
      <c r="F56" s="332">
        <v>9.68</v>
      </c>
      <c r="G56" s="339">
        <f t="shared" ref="G56" si="6">ROUND(E56*F56,2)</f>
        <v>2361.92</v>
      </c>
      <c r="H56" s="333"/>
    </row>
    <row r="57" spans="1:8" s="304" customFormat="1" ht="12">
      <c r="A57" s="347"/>
      <c r="B57" s="345"/>
      <c r="C57" s="343"/>
      <c r="D57" s="336"/>
      <c r="E57" s="195"/>
      <c r="F57" s="332"/>
      <c r="G57" s="339"/>
      <c r="H57" s="333"/>
    </row>
    <row r="58" spans="1:8" s="304" customFormat="1" ht="12.75">
      <c r="A58" s="319"/>
      <c r="B58" s="315">
        <v>6</v>
      </c>
      <c r="C58" s="320" t="s">
        <v>100</v>
      </c>
      <c r="D58" s="321"/>
      <c r="E58" s="342"/>
      <c r="F58" s="342"/>
      <c r="G58" s="323">
        <f>SUM(G59:G59)</f>
        <v>15118.68</v>
      </c>
      <c r="H58" s="318"/>
    </row>
    <row r="59" spans="1:8" s="304" customFormat="1" ht="33.75">
      <c r="A59" s="324" t="str">
        <f>'PB VIII - Comp. Auxiliares'!A34</f>
        <v>COMP. 05 - DPE</v>
      </c>
      <c r="B59" s="327" t="s">
        <v>101</v>
      </c>
      <c r="C59" s="331" t="s">
        <v>102</v>
      </c>
      <c r="D59" s="327" t="s">
        <v>18</v>
      </c>
      <c r="E59" s="329">
        <f>'PB VI - MEMÓRIA DE CÁLCULO'!G169</f>
        <v>180.07</v>
      </c>
      <c r="F59" s="328">
        <f>'PB VIII - Comp. Auxiliares'!F37</f>
        <v>83.96</v>
      </c>
      <c r="G59" s="330">
        <f>ROUND(E59*F59,2)</f>
        <v>15118.68</v>
      </c>
      <c r="H59" s="333"/>
    </row>
    <row r="60" spans="1:8" s="304" customFormat="1" ht="12">
      <c r="A60" s="335"/>
      <c r="B60" s="336"/>
      <c r="C60" s="343"/>
      <c r="D60" s="336"/>
      <c r="E60" s="195"/>
      <c r="F60" s="348"/>
      <c r="G60" s="339"/>
      <c r="H60" s="333"/>
    </row>
    <row r="61" spans="1:8" s="304" customFormat="1" ht="12">
      <c r="A61" s="319"/>
      <c r="B61" s="315">
        <v>7</v>
      </c>
      <c r="C61" s="320" t="s">
        <v>103</v>
      </c>
      <c r="D61" s="321"/>
      <c r="E61" s="342"/>
      <c r="F61" s="342"/>
      <c r="G61" s="323">
        <f>SUM(G63:G72)</f>
        <v>6914.66</v>
      </c>
      <c r="H61" s="333"/>
    </row>
    <row r="62" spans="1:8" ht="15.95" customHeight="1">
      <c r="A62" s="335"/>
      <c r="B62" s="345" t="s">
        <v>13</v>
      </c>
      <c r="C62" s="346" t="s">
        <v>104</v>
      </c>
      <c r="D62" s="336"/>
      <c r="E62" s="195"/>
      <c r="F62" s="348"/>
      <c r="G62" s="339"/>
    </row>
    <row r="63" spans="1:8" s="304" customFormat="1" ht="33.75">
      <c r="A63" s="335">
        <v>91315</v>
      </c>
      <c r="B63" s="336" t="s">
        <v>105</v>
      </c>
      <c r="C63" s="340" t="s">
        <v>106</v>
      </c>
      <c r="D63" s="336" t="s">
        <v>28</v>
      </c>
      <c r="E63" s="329">
        <v>1</v>
      </c>
      <c r="F63" s="348">
        <v>634.32000000000005</v>
      </c>
      <c r="G63" s="339">
        <f>ROUND(E63*F63,2)</f>
        <v>634.32000000000005</v>
      </c>
      <c r="H63" s="333"/>
    </row>
    <row r="64" spans="1:8" s="304" customFormat="1" ht="22.5">
      <c r="A64" s="324" t="s">
        <v>107</v>
      </c>
      <c r="B64" s="336" t="s">
        <v>108</v>
      </c>
      <c r="C64" s="340" t="s">
        <v>109</v>
      </c>
      <c r="D64" s="336" t="s">
        <v>55</v>
      </c>
      <c r="E64" s="329">
        <v>0.9</v>
      </c>
      <c r="F64" s="348">
        <v>38.130000000000003</v>
      </c>
      <c r="G64" s="339">
        <f>ROUND(E64*F64,2)</f>
        <v>34.32</v>
      </c>
      <c r="H64" s="333"/>
    </row>
    <row r="65" spans="1:8" s="304" customFormat="1" ht="22.5">
      <c r="A65" s="324" t="str">
        <f>'PB VIII - Comp. Auxiliares'!A39</f>
        <v>COMP. 06 -DPE</v>
      </c>
      <c r="B65" s="327" t="s">
        <v>110</v>
      </c>
      <c r="C65" s="340" t="s">
        <v>111</v>
      </c>
      <c r="D65" s="327" t="s">
        <v>28</v>
      </c>
      <c r="E65" s="329">
        <v>1</v>
      </c>
      <c r="F65" s="328">
        <f>'PB VIII - Comp. Auxiliares'!F46</f>
        <v>3105.89</v>
      </c>
      <c r="G65" s="330">
        <f>ROUND(E65*F65,2)</f>
        <v>3105.89</v>
      </c>
      <c r="H65" s="333"/>
    </row>
    <row r="66" spans="1:8" s="304" customFormat="1" ht="12">
      <c r="A66" s="324" t="s">
        <v>112</v>
      </c>
      <c r="B66" s="336" t="s">
        <v>113</v>
      </c>
      <c r="C66" s="340" t="s">
        <v>114</v>
      </c>
      <c r="D66" s="336" t="s">
        <v>18</v>
      </c>
      <c r="E66" s="329">
        <f>ROUND('PB VI - MEMÓRIA DE CÁLCULO'!E176*'PB VI - MEMÓRIA DE CÁLCULO'!G176,2)+ROUND('PB VI - MEMÓRIA DE CÁLCULO'!E175*'PB VI - MEMÓRIA DE CÁLCULO'!F175*'PB VI - MEMÓRIA DE CÁLCULO'!G175,2)</f>
        <v>3.24</v>
      </c>
      <c r="F66" s="348">
        <v>794.94</v>
      </c>
      <c r="G66" s="339">
        <f t="shared" ref="G66" si="7">ROUND(E66*F66,2)</f>
        <v>2575.61</v>
      </c>
      <c r="H66" s="333"/>
    </row>
    <row r="67" spans="1:8" s="304" customFormat="1" ht="12">
      <c r="A67" s="324"/>
      <c r="B67" s="336"/>
      <c r="C67" s="340"/>
      <c r="D67" s="336"/>
      <c r="E67" s="195"/>
      <c r="F67" s="348"/>
      <c r="G67" s="339"/>
      <c r="H67" s="333"/>
    </row>
    <row r="68" spans="1:8" s="304" customFormat="1" ht="12">
      <c r="A68" s="335"/>
      <c r="B68" s="345" t="s">
        <v>31</v>
      </c>
      <c r="C68" s="346" t="s">
        <v>115</v>
      </c>
      <c r="D68" s="336"/>
      <c r="E68" s="195"/>
      <c r="F68" s="348"/>
      <c r="G68" s="339"/>
      <c r="H68" s="333"/>
    </row>
    <row r="69" spans="1:8" s="304" customFormat="1" ht="12">
      <c r="A69" s="335">
        <v>84845</v>
      </c>
      <c r="B69" s="336" t="s">
        <v>116</v>
      </c>
      <c r="C69" s="343" t="s">
        <v>117</v>
      </c>
      <c r="D69" s="336" t="s">
        <v>18</v>
      </c>
      <c r="E69" s="329">
        <f>'PB VI - MEMÓRIA DE CÁLCULO'!G183</f>
        <v>1.26</v>
      </c>
      <c r="F69" s="348">
        <v>257.14</v>
      </c>
      <c r="G69" s="339">
        <f>ROUND(E69*F69,2)</f>
        <v>324</v>
      </c>
      <c r="H69" s="333"/>
    </row>
    <row r="70" spans="1:8" s="304" customFormat="1" ht="12">
      <c r="A70" s="335">
        <v>84845</v>
      </c>
      <c r="B70" s="336" t="s">
        <v>118</v>
      </c>
      <c r="C70" s="343" t="s">
        <v>119</v>
      </c>
      <c r="D70" s="336" t="s">
        <v>18</v>
      </c>
      <c r="E70" s="329">
        <f>'PB VI - MEMÓRIA DE CÁLCULO'!G182</f>
        <v>0.7</v>
      </c>
      <c r="F70" s="348">
        <v>257.14</v>
      </c>
      <c r="G70" s="339">
        <f t="shared" ref="G70:G72" si="8">ROUND(E70*F70,2)</f>
        <v>180</v>
      </c>
      <c r="H70" s="333"/>
    </row>
    <row r="71" spans="1:8" s="304" customFormat="1" ht="22.5">
      <c r="A71" s="324" t="s">
        <v>120</v>
      </c>
      <c r="B71" s="336" t="s">
        <v>121</v>
      </c>
      <c r="C71" s="331" t="s">
        <v>122</v>
      </c>
      <c r="D71" s="327" t="s">
        <v>55</v>
      </c>
      <c r="E71" s="329">
        <f>'PB VI - MEMÓRIA DE CÁLCULO'!F188</f>
        <v>0.77500000000000002</v>
      </c>
      <c r="F71" s="348">
        <v>39.85</v>
      </c>
      <c r="G71" s="339">
        <f t="shared" si="8"/>
        <v>30.88</v>
      </c>
      <c r="H71" s="333"/>
    </row>
    <row r="72" spans="1:8" s="304" customFormat="1" ht="22.5">
      <c r="A72" s="324" t="s">
        <v>123</v>
      </c>
      <c r="B72" s="336" t="s">
        <v>124</v>
      </c>
      <c r="C72" s="331" t="s">
        <v>125</v>
      </c>
      <c r="D72" s="327" t="s">
        <v>55</v>
      </c>
      <c r="E72" s="329">
        <v>0.77500000000000002</v>
      </c>
      <c r="F72" s="348">
        <v>38.25</v>
      </c>
      <c r="G72" s="339">
        <f t="shared" si="8"/>
        <v>29.64</v>
      </c>
      <c r="H72" s="333"/>
    </row>
    <row r="73" spans="1:8" s="304" customFormat="1" ht="12">
      <c r="A73" s="324"/>
      <c r="B73" s="327"/>
      <c r="C73" s="340"/>
      <c r="D73" s="327"/>
      <c r="E73" s="329"/>
      <c r="F73" s="348"/>
      <c r="G73" s="330"/>
      <c r="H73" s="333"/>
    </row>
    <row r="74" spans="1:8" s="304" customFormat="1" ht="12">
      <c r="A74" s="319"/>
      <c r="B74" s="315">
        <v>8</v>
      </c>
      <c r="C74" s="320" t="s">
        <v>126</v>
      </c>
      <c r="D74" s="321"/>
      <c r="E74" s="342"/>
      <c r="F74" s="342"/>
      <c r="G74" s="323">
        <f>SUM(G75:G76)</f>
        <v>100.03</v>
      </c>
      <c r="H74" s="333"/>
    </row>
    <row r="75" spans="1:8" s="304" customFormat="1" ht="12">
      <c r="A75" s="324" t="s">
        <v>127</v>
      </c>
      <c r="B75" s="327" t="s">
        <v>128</v>
      </c>
      <c r="C75" s="340" t="s">
        <v>129</v>
      </c>
      <c r="D75" s="327" t="s">
        <v>55</v>
      </c>
      <c r="E75" s="329">
        <f>'PB VI - MEMÓRIA DE CÁLCULO'!G196</f>
        <v>4.33</v>
      </c>
      <c r="F75" s="338">
        <v>16.38</v>
      </c>
      <c r="G75" s="330">
        <f>ROUND(E75*F75,2)</f>
        <v>70.930000000000007</v>
      </c>
      <c r="H75" s="333"/>
    </row>
    <row r="76" spans="1:8" s="304" customFormat="1" ht="22.5">
      <c r="A76" s="324" t="str">
        <f>'PB VIII - Comp. Auxiliares'!A48</f>
        <v>COMP. 07 - DPE</v>
      </c>
      <c r="B76" s="327" t="s">
        <v>130</v>
      </c>
      <c r="C76" s="331" t="s">
        <v>131</v>
      </c>
      <c r="D76" s="327" t="s">
        <v>28</v>
      </c>
      <c r="E76" s="329">
        <f>'PB VI - MEMÓRIA DE CÁLCULO'!G199</f>
        <v>1</v>
      </c>
      <c r="F76" s="332">
        <f>'PB VIII - Comp. Auxiliares'!F51</f>
        <v>29.1</v>
      </c>
      <c r="G76" s="330">
        <f t="shared" ref="G76" si="9">ROUND(E76*F76,2)</f>
        <v>29.1</v>
      </c>
      <c r="H76" s="333"/>
    </row>
    <row r="77" spans="1:8" s="304" customFormat="1" ht="12">
      <c r="A77" s="335"/>
      <c r="B77" s="336"/>
      <c r="C77" s="343"/>
      <c r="D77" s="336"/>
      <c r="E77" s="195"/>
      <c r="F77" s="338"/>
      <c r="G77" s="339"/>
      <c r="H77" s="333"/>
    </row>
    <row r="78" spans="1:8" s="304" customFormat="1" ht="12">
      <c r="A78" s="319"/>
      <c r="B78" s="315">
        <v>9</v>
      </c>
      <c r="C78" s="320" t="s">
        <v>132</v>
      </c>
      <c r="D78" s="321"/>
      <c r="E78" s="342"/>
      <c r="F78" s="342"/>
      <c r="G78" s="323">
        <f>SUM(G80:G84)</f>
        <v>244.47</v>
      </c>
      <c r="H78" s="333"/>
    </row>
    <row r="79" spans="1:8" s="304" customFormat="1" ht="12">
      <c r="A79" s="324"/>
      <c r="B79" s="325" t="s">
        <v>13</v>
      </c>
      <c r="C79" s="326" t="s">
        <v>133</v>
      </c>
      <c r="D79" s="327"/>
      <c r="E79" s="329"/>
      <c r="F79" s="338"/>
      <c r="G79" s="330"/>
      <c r="H79" s="333"/>
    </row>
    <row r="80" spans="1:8" s="304" customFormat="1" ht="22.5">
      <c r="A80" s="324" t="s">
        <v>134</v>
      </c>
      <c r="B80" s="327" t="s">
        <v>135</v>
      </c>
      <c r="C80" s="340" t="s">
        <v>136</v>
      </c>
      <c r="D80" s="327" t="s">
        <v>55</v>
      </c>
      <c r="E80" s="329">
        <f>'PB VI - MEMÓRIA DE CÁLCULO'!G204</f>
        <v>1.87</v>
      </c>
      <c r="F80" s="338">
        <v>42.48</v>
      </c>
      <c r="G80" s="330">
        <f>ROUND(E80*F80,2)</f>
        <v>79.44</v>
      </c>
      <c r="H80" s="333"/>
    </row>
    <row r="81" spans="1:8" s="304" customFormat="1" ht="22.5">
      <c r="A81" s="324" t="s">
        <v>137</v>
      </c>
      <c r="B81" s="327" t="s">
        <v>138</v>
      </c>
      <c r="C81" s="340" t="s">
        <v>139</v>
      </c>
      <c r="D81" s="327" t="s">
        <v>55</v>
      </c>
      <c r="E81" s="329">
        <f>'PB VI - MEMÓRIA DE CÁLCULO'!G205</f>
        <v>3.3</v>
      </c>
      <c r="F81" s="338">
        <v>44.49</v>
      </c>
      <c r="G81" s="330">
        <f t="shared" ref="G81:G84" si="10">ROUND(E81*F81,2)</f>
        <v>146.82</v>
      </c>
      <c r="H81" s="333"/>
    </row>
    <row r="82" spans="1:8" s="304" customFormat="1" ht="12">
      <c r="A82" s="324"/>
      <c r="B82" s="327"/>
      <c r="C82" s="331"/>
      <c r="D82" s="327"/>
      <c r="E82" s="329"/>
      <c r="F82" s="338"/>
      <c r="G82" s="330"/>
      <c r="H82" s="333"/>
    </row>
    <row r="83" spans="1:8" s="304" customFormat="1" ht="22.5">
      <c r="A83" s="324"/>
      <c r="B83" s="325" t="s">
        <v>31</v>
      </c>
      <c r="C83" s="350" t="s">
        <v>140</v>
      </c>
      <c r="D83" s="327"/>
      <c r="E83" s="329"/>
      <c r="F83" s="338"/>
      <c r="G83" s="330"/>
      <c r="H83" s="333"/>
    </row>
    <row r="84" spans="1:8" s="304" customFormat="1" ht="12">
      <c r="A84" s="324">
        <v>89707</v>
      </c>
      <c r="B84" s="327" t="s">
        <v>141</v>
      </c>
      <c r="C84" s="340" t="s">
        <v>142</v>
      </c>
      <c r="D84" s="327" t="s">
        <v>28</v>
      </c>
      <c r="E84" s="329">
        <f>'PB VI - MEMÓRIA DE CÁLCULO'!G208</f>
        <v>1</v>
      </c>
      <c r="F84" s="338">
        <v>18.21</v>
      </c>
      <c r="G84" s="330">
        <f t="shared" si="10"/>
        <v>18.21</v>
      </c>
      <c r="H84" s="333"/>
    </row>
    <row r="85" spans="1:8" s="304" customFormat="1" ht="12">
      <c r="A85" s="335"/>
      <c r="B85" s="336"/>
      <c r="C85" s="343"/>
      <c r="D85" s="336"/>
      <c r="E85" s="195"/>
      <c r="F85" s="338"/>
      <c r="G85" s="339"/>
      <c r="H85" s="333"/>
    </row>
    <row r="86" spans="1:8" s="304" customFormat="1" ht="12">
      <c r="A86" s="319"/>
      <c r="B86" s="315">
        <v>10</v>
      </c>
      <c r="C86" s="320" t="s">
        <v>143</v>
      </c>
      <c r="D86" s="321"/>
      <c r="E86" s="342"/>
      <c r="F86" s="342"/>
      <c r="G86" s="323">
        <f>SUM(G87:G94)</f>
        <v>7556.01</v>
      </c>
      <c r="H86" s="333"/>
    </row>
    <row r="87" spans="1:8" s="304" customFormat="1" ht="12">
      <c r="A87" s="351" t="s">
        <v>144</v>
      </c>
      <c r="B87" s="336" t="s">
        <v>145</v>
      </c>
      <c r="C87" s="343" t="s">
        <v>146</v>
      </c>
      <c r="D87" s="336" t="s">
        <v>28</v>
      </c>
      <c r="E87" s="329">
        <f>'PB VI - MEMÓRIA DE CÁLCULO'!G224</f>
        <v>6</v>
      </c>
      <c r="F87" s="338">
        <v>309.04000000000002</v>
      </c>
      <c r="G87" s="339">
        <f t="shared" ref="G87:G94" si="11">ROUND(E87*F87,2)</f>
        <v>1854.24</v>
      </c>
      <c r="H87" s="333"/>
    </row>
    <row r="88" spans="1:8" s="304" customFormat="1" ht="12">
      <c r="A88" s="324" t="s">
        <v>147</v>
      </c>
      <c r="B88" s="336" t="s">
        <v>148</v>
      </c>
      <c r="C88" s="343" t="s">
        <v>149</v>
      </c>
      <c r="D88" s="336" t="s">
        <v>28</v>
      </c>
      <c r="E88" s="329">
        <f>'PB VI - MEMÓRIA DE CÁLCULO'!G228</f>
        <v>2</v>
      </c>
      <c r="F88" s="338">
        <v>390.39</v>
      </c>
      <c r="G88" s="339">
        <f t="shared" si="11"/>
        <v>780.78</v>
      </c>
      <c r="H88" s="333"/>
    </row>
    <row r="89" spans="1:8" s="304" customFormat="1" ht="12">
      <c r="A89" s="335">
        <v>86941</v>
      </c>
      <c r="B89" s="336" t="s">
        <v>150</v>
      </c>
      <c r="C89" s="343" t="s">
        <v>151</v>
      </c>
      <c r="D89" s="336" t="s">
        <v>28</v>
      </c>
      <c r="E89" s="329">
        <f>'PB VI - MEMÓRIA DE CÁLCULO'!G222</f>
        <v>6</v>
      </c>
      <c r="F89" s="338">
        <v>446.73</v>
      </c>
      <c r="G89" s="339">
        <f t="shared" si="11"/>
        <v>2680.38</v>
      </c>
      <c r="H89" s="333"/>
    </row>
    <row r="90" spans="1:8" s="304" customFormat="1" ht="67.5">
      <c r="A90" s="335" t="str">
        <f>'PB VIII - Comp. Auxiliares'!A53</f>
        <v>COMP. 08 - DPE</v>
      </c>
      <c r="B90" s="336" t="s">
        <v>152</v>
      </c>
      <c r="C90" s="343" t="s">
        <v>153</v>
      </c>
      <c r="D90" s="336" t="s">
        <v>28</v>
      </c>
      <c r="E90" s="329">
        <f>'PB VI - MEMÓRIA DE CÁLCULO'!G221</f>
        <v>1</v>
      </c>
      <c r="F90" s="348">
        <f>'PB VIII - Comp. Auxiliares'!F67</f>
        <v>813.65</v>
      </c>
      <c r="G90" s="339">
        <f t="shared" si="11"/>
        <v>813.65</v>
      </c>
      <c r="H90" s="333"/>
    </row>
    <row r="91" spans="1:8" s="304" customFormat="1" ht="45">
      <c r="A91" s="335" t="str">
        <f>'PB VIII - Comp. Auxiliares'!A69</f>
        <v>COMP. 09 - DPE</v>
      </c>
      <c r="B91" s="336" t="s">
        <v>154</v>
      </c>
      <c r="C91" s="343" t="s">
        <v>155</v>
      </c>
      <c r="D91" s="336" t="s">
        <v>28</v>
      </c>
      <c r="E91" s="329">
        <f>'PB VI - MEMÓRIA DE CÁLCULO'!G225</f>
        <v>1</v>
      </c>
      <c r="F91" s="348">
        <f>'PB VIII - Comp. Auxiliares'!F80</f>
        <v>747.85</v>
      </c>
      <c r="G91" s="339">
        <f t="shared" si="11"/>
        <v>747.85</v>
      </c>
      <c r="H91" s="333"/>
    </row>
    <row r="92" spans="1:8" s="304" customFormat="1" ht="22.5">
      <c r="A92" s="335">
        <v>95544</v>
      </c>
      <c r="B92" s="336" t="s">
        <v>156</v>
      </c>
      <c r="C92" s="340" t="s">
        <v>157</v>
      </c>
      <c r="D92" s="336" t="s">
        <v>28</v>
      </c>
      <c r="E92" s="329">
        <f>'PB VI - MEMÓRIA DE CÁLCULO'!G234</f>
        <v>13</v>
      </c>
      <c r="F92" s="338">
        <v>22.12</v>
      </c>
      <c r="G92" s="339">
        <f t="shared" si="11"/>
        <v>287.56</v>
      </c>
      <c r="H92" s="333"/>
    </row>
    <row r="93" spans="1:8" s="304" customFormat="1" ht="33.75">
      <c r="A93" s="335">
        <v>11758</v>
      </c>
      <c r="B93" s="336" t="s">
        <v>158</v>
      </c>
      <c r="C93" s="340" t="s">
        <v>159</v>
      </c>
      <c r="D93" s="336" t="s">
        <v>28</v>
      </c>
      <c r="E93" s="329">
        <f>'PB VI - MEMÓRIA DE CÁLCULO'!G231</f>
        <v>6</v>
      </c>
      <c r="F93" s="338">
        <v>34.89</v>
      </c>
      <c r="G93" s="339">
        <f t="shared" si="11"/>
        <v>209.34</v>
      </c>
      <c r="H93" s="333"/>
    </row>
    <row r="94" spans="1:8" s="304" customFormat="1" ht="22.5">
      <c r="A94" s="335">
        <v>85005</v>
      </c>
      <c r="B94" s="336" t="s">
        <v>160</v>
      </c>
      <c r="C94" s="340" t="s">
        <v>161</v>
      </c>
      <c r="D94" s="336" t="s">
        <v>18</v>
      </c>
      <c r="E94" s="329">
        <f>0.5*0.5*3</f>
        <v>0.75</v>
      </c>
      <c r="F94" s="338">
        <v>242.94</v>
      </c>
      <c r="G94" s="339">
        <f t="shared" si="11"/>
        <v>182.21</v>
      </c>
      <c r="H94" s="333"/>
    </row>
    <row r="95" spans="1:8" s="304" customFormat="1" ht="12">
      <c r="A95" s="335"/>
      <c r="B95" s="336"/>
      <c r="C95" s="340"/>
      <c r="D95" s="336"/>
      <c r="E95" s="195"/>
      <c r="F95" s="338"/>
      <c r="G95" s="339"/>
      <c r="H95" s="333"/>
    </row>
    <row r="96" spans="1:8" s="304" customFormat="1" ht="12">
      <c r="A96" s="319"/>
      <c r="B96" s="315">
        <v>11</v>
      </c>
      <c r="C96" s="320" t="s">
        <v>162</v>
      </c>
      <c r="D96" s="321"/>
      <c r="E96" s="342"/>
      <c r="F96" s="342"/>
      <c r="G96" s="323">
        <f>SUM(G97:G103)</f>
        <v>1889.04</v>
      </c>
      <c r="H96" s="333"/>
    </row>
    <row r="97" spans="1:8" s="304" customFormat="1" ht="22.5">
      <c r="A97" s="324">
        <v>37539</v>
      </c>
      <c r="B97" s="336" t="s">
        <v>163</v>
      </c>
      <c r="C97" s="340" t="s">
        <v>164</v>
      </c>
      <c r="D97" s="336" t="s">
        <v>28</v>
      </c>
      <c r="E97" s="329">
        <f>'PB VI - MEMÓRIA DE CÁLCULO'!G239</f>
        <v>15</v>
      </c>
      <c r="F97" s="332">
        <v>20</v>
      </c>
      <c r="G97" s="339">
        <f t="shared" ref="G97:G103" si="12">ROUND(E97*F97,2)</f>
        <v>300</v>
      </c>
      <c r="H97" s="333"/>
    </row>
    <row r="98" spans="1:8" s="304" customFormat="1" ht="22.5">
      <c r="A98" s="324">
        <v>37539</v>
      </c>
      <c r="B98" s="336" t="s">
        <v>165</v>
      </c>
      <c r="C98" s="340" t="s">
        <v>166</v>
      </c>
      <c r="D98" s="336" t="s">
        <v>28</v>
      </c>
      <c r="E98" s="329">
        <f>'PB VI - MEMÓRIA DE CÁLCULO'!G240</f>
        <v>4</v>
      </c>
      <c r="F98" s="332">
        <v>20</v>
      </c>
      <c r="G98" s="339">
        <f t="shared" si="12"/>
        <v>80</v>
      </c>
      <c r="H98" s="333"/>
    </row>
    <row r="99" spans="1:8" s="304" customFormat="1" ht="22.5">
      <c r="A99" s="324">
        <v>37539</v>
      </c>
      <c r="B99" s="336" t="s">
        <v>167</v>
      </c>
      <c r="C99" s="340" t="s">
        <v>168</v>
      </c>
      <c r="D99" s="336" t="s">
        <v>28</v>
      </c>
      <c r="E99" s="329">
        <f>'PB VI - MEMÓRIA DE CÁLCULO'!G241</f>
        <v>5</v>
      </c>
      <c r="F99" s="332">
        <v>20</v>
      </c>
      <c r="G99" s="339">
        <f t="shared" si="12"/>
        <v>100</v>
      </c>
      <c r="H99" s="333"/>
    </row>
    <row r="100" spans="1:8" s="304" customFormat="1" ht="22.5">
      <c r="A100" s="324">
        <v>84665</v>
      </c>
      <c r="B100" s="336" t="s">
        <v>169</v>
      </c>
      <c r="C100" s="340" t="s">
        <v>170</v>
      </c>
      <c r="D100" s="336" t="s">
        <v>18</v>
      </c>
      <c r="E100" s="329">
        <f>'PB VI - MEMÓRIA DE CÁLCULO'!G242</f>
        <v>2</v>
      </c>
      <c r="F100" s="332">
        <v>17.93</v>
      </c>
      <c r="G100" s="339">
        <f t="shared" si="12"/>
        <v>35.86</v>
      </c>
      <c r="H100" s="333"/>
    </row>
    <row r="101" spans="1:8" s="304" customFormat="1" ht="22.5">
      <c r="A101" s="324" t="s">
        <v>171</v>
      </c>
      <c r="B101" s="336" t="s">
        <v>172</v>
      </c>
      <c r="C101" s="340" t="s">
        <v>173</v>
      </c>
      <c r="D101" s="336" t="s">
        <v>28</v>
      </c>
      <c r="E101" s="329">
        <f>'PB VI - MEMÓRIA DE CÁLCULO'!G243</f>
        <v>2</v>
      </c>
      <c r="F101" s="332">
        <v>11.95</v>
      </c>
      <c r="G101" s="339">
        <f t="shared" si="12"/>
        <v>23.9</v>
      </c>
      <c r="H101" s="333"/>
    </row>
    <row r="102" spans="1:8" s="304" customFormat="1" ht="22.5">
      <c r="A102" s="324" t="s">
        <v>174</v>
      </c>
      <c r="B102" s="336" t="s">
        <v>175</v>
      </c>
      <c r="C102" s="340" t="s">
        <v>176</v>
      </c>
      <c r="D102" s="336" t="s">
        <v>28</v>
      </c>
      <c r="E102" s="329">
        <f>'PB VI - MEMÓRIA DE CÁLCULO'!G244</f>
        <v>4</v>
      </c>
      <c r="F102" s="332">
        <v>217.89</v>
      </c>
      <c r="G102" s="339">
        <f t="shared" si="12"/>
        <v>871.56</v>
      </c>
      <c r="H102" s="333"/>
    </row>
    <row r="103" spans="1:8" s="304" customFormat="1" ht="22.5">
      <c r="A103" s="324" t="str">
        <f>'PB VIII - Comp. Auxiliares'!A82</f>
        <v>COMP. 10 - DPE</v>
      </c>
      <c r="B103" s="336" t="s">
        <v>177</v>
      </c>
      <c r="C103" s="340" t="s">
        <v>178</v>
      </c>
      <c r="D103" s="327" t="s">
        <v>28</v>
      </c>
      <c r="E103" s="329">
        <f>'PB VI - MEMÓRIA DE CÁLCULO'!G245</f>
        <v>12</v>
      </c>
      <c r="F103" s="332">
        <f>'PB VIII - Comp. Auxiliares'!F88</f>
        <v>39.81</v>
      </c>
      <c r="G103" s="330">
        <f t="shared" si="12"/>
        <v>477.72</v>
      </c>
      <c r="H103" s="333"/>
    </row>
    <row r="104" spans="1:8" s="304" customFormat="1" ht="12">
      <c r="A104" s="324"/>
      <c r="B104" s="336"/>
      <c r="C104" s="340"/>
      <c r="D104" s="336"/>
      <c r="E104" s="195"/>
      <c r="F104" s="338"/>
      <c r="G104" s="339"/>
      <c r="H104" s="333"/>
    </row>
    <row r="105" spans="1:8" s="304" customFormat="1" ht="12">
      <c r="A105" s="352"/>
      <c r="B105" s="353">
        <v>12</v>
      </c>
      <c r="C105" s="354" t="s">
        <v>179</v>
      </c>
      <c r="D105" s="355"/>
      <c r="E105" s="356"/>
      <c r="F105" s="356"/>
      <c r="G105" s="357">
        <f>SUM(G107:G155)</f>
        <v>36495.93</v>
      </c>
      <c r="H105" s="333"/>
    </row>
    <row r="106" spans="1:8" s="304" customFormat="1" ht="12">
      <c r="A106" s="335"/>
      <c r="B106" s="345" t="s">
        <v>13</v>
      </c>
      <c r="C106" s="346" t="s">
        <v>180</v>
      </c>
      <c r="D106" s="336"/>
      <c r="E106" s="195"/>
      <c r="F106" s="338"/>
      <c r="G106" s="339"/>
      <c r="H106" s="333"/>
    </row>
    <row r="107" spans="1:8" s="304" customFormat="1" ht="22.5">
      <c r="A107" s="335" t="str">
        <f>'PB VIII - Comp. Auxiliares'!A90</f>
        <v>COMP. 11 - DPE</v>
      </c>
      <c r="B107" s="336" t="s">
        <v>181</v>
      </c>
      <c r="C107" s="343" t="s">
        <v>182</v>
      </c>
      <c r="D107" s="336" t="s">
        <v>28</v>
      </c>
      <c r="E107" s="195">
        <v>53</v>
      </c>
      <c r="F107" s="348">
        <f>'PB VIII - Comp. Auxiliares'!F96</f>
        <v>237.13</v>
      </c>
      <c r="G107" s="339">
        <f>ROUND(E107*F107,2)</f>
        <v>12567.89</v>
      </c>
      <c r="H107" s="333"/>
    </row>
    <row r="108" spans="1:8" s="304" customFormat="1" ht="22.5">
      <c r="A108" s="324" t="str">
        <f>'PB VIII - Comp. Auxiliares'!A98</f>
        <v>COMP. 12 - DPE</v>
      </c>
      <c r="B108" s="336" t="s">
        <v>183</v>
      </c>
      <c r="C108" s="331" t="str">
        <f>'PB VIII - Comp. Auxiliares'!B98</f>
        <v>Lâmpada multivapor metálico 150 W ovóide para uso na horizontal - fornecimento e instalação</v>
      </c>
      <c r="D108" s="327" t="s">
        <v>28</v>
      </c>
      <c r="E108" s="329">
        <v>18</v>
      </c>
      <c r="F108" s="358">
        <f>'PB VIII - Comp. Auxiliares'!F103</f>
        <v>31.17</v>
      </c>
      <c r="G108" s="330">
        <f>ROUND(E108*F108,2)</f>
        <v>561.05999999999995</v>
      </c>
      <c r="H108" s="333"/>
    </row>
    <row r="109" spans="1:8" s="304" customFormat="1" ht="22.5">
      <c r="A109" s="324" t="str">
        <f>'PB VIII - Comp. Auxiliares'!A105</f>
        <v>COMP. 13 - DPE</v>
      </c>
      <c r="B109" s="336" t="s">
        <v>184</v>
      </c>
      <c r="C109" s="331" t="str">
        <f>'PB VIII - Comp. Auxiliares'!B105</f>
        <v>Reator para lâmpada vapor metalico até 400 w, alto fator de potencia, uso externo - fornecimento e instalação</v>
      </c>
      <c r="D109" s="327" t="s">
        <v>28</v>
      </c>
      <c r="E109" s="329">
        <v>18</v>
      </c>
      <c r="F109" s="358">
        <v>124.46</v>
      </c>
      <c r="G109" s="330">
        <f>ROUND(E109*F109,2)</f>
        <v>2240.2800000000002</v>
      </c>
      <c r="H109" s="333"/>
    </row>
    <row r="110" spans="1:8" s="304" customFormat="1" ht="22.5">
      <c r="A110" s="335">
        <v>83399</v>
      </c>
      <c r="B110" s="336" t="s">
        <v>185</v>
      </c>
      <c r="C110" s="343" t="s">
        <v>186</v>
      </c>
      <c r="D110" s="336" t="s">
        <v>28</v>
      </c>
      <c r="E110" s="195">
        <v>6</v>
      </c>
      <c r="F110" s="338">
        <v>27.6</v>
      </c>
      <c r="G110" s="339">
        <f t="shared" ref="G110:G119" si="13">ROUND(E110*F110,2)</f>
        <v>165.6</v>
      </c>
      <c r="H110" s="333"/>
    </row>
    <row r="111" spans="1:8" s="304" customFormat="1" ht="22.5">
      <c r="A111" s="335">
        <v>91992</v>
      </c>
      <c r="B111" s="336" t="s">
        <v>187</v>
      </c>
      <c r="C111" s="343" t="s">
        <v>188</v>
      </c>
      <c r="D111" s="336" t="s">
        <v>28</v>
      </c>
      <c r="E111" s="195">
        <v>10</v>
      </c>
      <c r="F111" s="338">
        <v>28.7</v>
      </c>
      <c r="G111" s="339">
        <f t="shared" si="13"/>
        <v>287</v>
      </c>
      <c r="H111" s="333"/>
    </row>
    <row r="112" spans="1:8" s="304" customFormat="1" ht="22.5">
      <c r="A112" s="335">
        <v>91993</v>
      </c>
      <c r="B112" s="336" t="s">
        <v>189</v>
      </c>
      <c r="C112" s="343" t="s">
        <v>190</v>
      </c>
      <c r="D112" s="336" t="s">
        <v>28</v>
      </c>
      <c r="E112" s="195">
        <v>8</v>
      </c>
      <c r="F112" s="338">
        <v>29.92</v>
      </c>
      <c r="G112" s="339">
        <f t="shared" si="13"/>
        <v>239.36</v>
      </c>
      <c r="H112" s="333"/>
    </row>
    <row r="113" spans="1:8" s="304" customFormat="1" ht="22.5">
      <c r="A113" s="335">
        <v>91996</v>
      </c>
      <c r="B113" s="336" t="s">
        <v>191</v>
      </c>
      <c r="C113" s="343" t="s">
        <v>192</v>
      </c>
      <c r="D113" s="336" t="s">
        <v>28</v>
      </c>
      <c r="E113" s="195">
        <v>1</v>
      </c>
      <c r="F113" s="338">
        <v>21.42</v>
      </c>
      <c r="G113" s="339">
        <f t="shared" si="13"/>
        <v>21.42</v>
      </c>
      <c r="H113" s="333"/>
    </row>
    <row r="114" spans="1:8" s="304" customFormat="1" ht="22.5">
      <c r="A114" s="335">
        <v>91997</v>
      </c>
      <c r="B114" s="336" t="s">
        <v>193</v>
      </c>
      <c r="C114" s="343" t="s">
        <v>194</v>
      </c>
      <c r="D114" s="336" t="s">
        <v>28</v>
      </c>
      <c r="E114" s="195">
        <v>1</v>
      </c>
      <c r="F114" s="338">
        <v>22.64</v>
      </c>
      <c r="G114" s="339">
        <f t="shared" si="13"/>
        <v>22.64</v>
      </c>
      <c r="H114" s="333"/>
    </row>
    <row r="115" spans="1:8" s="304" customFormat="1" ht="22.5">
      <c r="A115" s="335">
        <v>92005</v>
      </c>
      <c r="B115" s="336" t="s">
        <v>195</v>
      </c>
      <c r="C115" s="343" t="s">
        <v>196</v>
      </c>
      <c r="D115" s="336" t="s">
        <v>28</v>
      </c>
      <c r="E115" s="195">
        <v>2</v>
      </c>
      <c r="F115" s="338">
        <v>37.81</v>
      </c>
      <c r="G115" s="339">
        <f t="shared" si="13"/>
        <v>75.62</v>
      </c>
      <c r="H115" s="333"/>
    </row>
    <row r="116" spans="1:8" s="304" customFormat="1" ht="22.5">
      <c r="A116" s="335">
        <v>91953</v>
      </c>
      <c r="B116" s="336" t="s">
        <v>197</v>
      </c>
      <c r="C116" s="343" t="s">
        <v>198</v>
      </c>
      <c r="D116" s="336" t="s">
        <v>28</v>
      </c>
      <c r="E116" s="195">
        <v>12</v>
      </c>
      <c r="F116" s="338">
        <v>17.670000000000002</v>
      </c>
      <c r="G116" s="339">
        <f t="shared" si="13"/>
        <v>212.04</v>
      </c>
      <c r="H116" s="333"/>
    </row>
    <row r="117" spans="1:8" s="304" customFormat="1" ht="22.5">
      <c r="A117" s="335">
        <v>91959</v>
      </c>
      <c r="B117" s="336" t="s">
        <v>199</v>
      </c>
      <c r="C117" s="343" t="s">
        <v>200</v>
      </c>
      <c r="D117" s="336" t="s">
        <v>28</v>
      </c>
      <c r="E117" s="195">
        <v>4</v>
      </c>
      <c r="F117" s="338">
        <v>27.91</v>
      </c>
      <c r="G117" s="339">
        <f t="shared" si="13"/>
        <v>111.64</v>
      </c>
      <c r="H117" s="333"/>
    </row>
    <row r="118" spans="1:8" s="304" customFormat="1" ht="22.5">
      <c r="A118" s="335">
        <v>92000</v>
      </c>
      <c r="B118" s="336" t="s">
        <v>201</v>
      </c>
      <c r="C118" s="343" t="s">
        <v>202</v>
      </c>
      <c r="D118" s="336" t="s">
        <v>28</v>
      </c>
      <c r="E118" s="195">
        <v>19</v>
      </c>
      <c r="F118" s="338">
        <v>18.600000000000001</v>
      </c>
      <c r="G118" s="339">
        <f t="shared" si="13"/>
        <v>353.4</v>
      </c>
      <c r="H118" s="333"/>
    </row>
    <row r="119" spans="1:8" s="304" customFormat="1" ht="22.5">
      <c r="A119" s="335">
        <v>92008</v>
      </c>
      <c r="B119" s="336" t="s">
        <v>203</v>
      </c>
      <c r="C119" s="343" t="s">
        <v>204</v>
      </c>
      <c r="D119" s="336" t="s">
        <v>28</v>
      </c>
      <c r="E119" s="195">
        <v>16</v>
      </c>
      <c r="F119" s="338">
        <v>29.71</v>
      </c>
      <c r="G119" s="339">
        <f t="shared" si="13"/>
        <v>475.36</v>
      </c>
      <c r="H119" s="333"/>
    </row>
    <row r="120" spans="1:8" s="304" customFormat="1" ht="12">
      <c r="A120" s="335"/>
      <c r="B120" s="345" t="s">
        <v>31</v>
      </c>
      <c r="C120" s="346" t="s">
        <v>205</v>
      </c>
      <c r="D120" s="336"/>
      <c r="E120" s="195"/>
      <c r="F120" s="338"/>
      <c r="G120" s="339"/>
      <c r="H120" s="333"/>
    </row>
    <row r="121" spans="1:8" s="304" customFormat="1" ht="22.5">
      <c r="A121" s="335">
        <v>90447</v>
      </c>
      <c r="B121" s="336" t="s">
        <v>206</v>
      </c>
      <c r="C121" s="343" t="s">
        <v>207</v>
      </c>
      <c r="D121" s="336" t="s">
        <v>55</v>
      </c>
      <c r="E121" s="195">
        <v>144.19999999999999</v>
      </c>
      <c r="F121" s="338">
        <v>5.21</v>
      </c>
      <c r="G121" s="339">
        <f>ROUND(E121*F121,2)</f>
        <v>751.28</v>
      </c>
      <c r="H121" s="333"/>
    </row>
    <row r="122" spans="1:8" s="304" customFormat="1" ht="22.5">
      <c r="A122" s="335">
        <v>90466</v>
      </c>
      <c r="B122" s="336" t="s">
        <v>208</v>
      </c>
      <c r="C122" s="343" t="s">
        <v>209</v>
      </c>
      <c r="D122" s="336" t="s">
        <v>55</v>
      </c>
      <c r="E122" s="195">
        <v>144.19999999999999</v>
      </c>
      <c r="F122" s="338">
        <v>10.66</v>
      </c>
      <c r="G122" s="339">
        <f t="shared" ref="G122:G132" si="14">ROUND(E122*F122,2)</f>
        <v>1537.17</v>
      </c>
      <c r="H122" s="333"/>
    </row>
    <row r="123" spans="1:8" s="304" customFormat="1" ht="33.75">
      <c r="A123" s="335">
        <v>91854</v>
      </c>
      <c r="B123" s="336" t="s">
        <v>210</v>
      </c>
      <c r="C123" s="343" t="s">
        <v>211</v>
      </c>
      <c r="D123" s="336" t="s">
        <v>55</v>
      </c>
      <c r="E123" s="195">
        <v>144.19999999999999</v>
      </c>
      <c r="F123" s="338">
        <v>6.66</v>
      </c>
      <c r="G123" s="339">
        <f t="shared" si="14"/>
        <v>960.37</v>
      </c>
      <c r="H123" s="333"/>
    </row>
    <row r="124" spans="1:8" s="304" customFormat="1" ht="33.75">
      <c r="A124" s="335">
        <v>91834</v>
      </c>
      <c r="B124" s="336" t="s">
        <v>212</v>
      </c>
      <c r="C124" s="343" t="s">
        <v>213</v>
      </c>
      <c r="D124" s="336" t="s">
        <v>55</v>
      </c>
      <c r="E124" s="195">
        <v>217.7</v>
      </c>
      <c r="F124" s="338">
        <v>6.3</v>
      </c>
      <c r="G124" s="339">
        <f t="shared" si="14"/>
        <v>1371.51</v>
      </c>
      <c r="H124" s="333"/>
    </row>
    <row r="125" spans="1:8" s="304" customFormat="1" ht="22.5">
      <c r="A125" s="335">
        <v>91867</v>
      </c>
      <c r="B125" s="336" t="s">
        <v>214</v>
      </c>
      <c r="C125" s="343" t="s">
        <v>215</v>
      </c>
      <c r="D125" s="336" t="s">
        <v>55</v>
      </c>
      <c r="E125" s="195">
        <v>79.099999999999994</v>
      </c>
      <c r="F125" s="338">
        <v>6.06</v>
      </c>
      <c r="G125" s="339">
        <f t="shared" si="14"/>
        <v>479.35</v>
      </c>
      <c r="H125" s="333"/>
    </row>
    <row r="126" spans="1:8" s="304" customFormat="1" ht="22.5">
      <c r="A126" s="335">
        <v>93009</v>
      </c>
      <c r="B126" s="336" t="s">
        <v>216</v>
      </c>
      <c r="C126" s="343" t="s">
        <v>217</v>
      </c>
      <c r="D126" s="336" t="s">
        <v>55</v>
      </c>
      <c r="E126" s="195">
        <v>28.5</v>
      </c>
      <c r="F126" s="338">
        <v>13.52</v>
      </c>
      <c r="G126" s="339">
        <f t="shared" si="14"/>
        <v>385.32</v>
      </c>
      <c r="H126" s="333"/>
    </row>
    <row r="127" spans="1:8" s="304" customFormat="1" ht="22.5">
      <c r="A127" s="335">
        <v>90456</v>
      </c>
      <c r="B127" s="336" t="s">
        <v>218</v>
      </c>
      <c r="C127" s="343" t="s">
        <v>219</v>
      </c>
      <c r="D127" s="336" t="s">
        <v>28</v>
      </c>
      <c r="E127" s="195">
        <v>65</v>
      </c>
      <c r="F127" s="338">
        <v>3.44</v>
      </c>
      <c r="G127" s="339">
        <f t="shared" si="14"/>
        <v>223.6</v>
      </c>
      <c r="H127" s="333"/>
    </row>
    <row r="128" spans="1:8" s="304" customFormat="1" ht="22.5">
      <c r="A128" s="335" t="str">
        <f>'PB VIII - Comp. Auxiliares'!A112</f>
        <v>COMP. 14 - DPE</v>
      </c>
      <c r="B128" s="336" t="s">
        <v>220</v>
      </c>
      <c r="C128" s="343" t="s">
        <v>221</v>
      </c>
      <c r="D128" s="336" t="s">
        <v>28</v>
      </c>
      <c r="E128" s="195">
        <v>60</v>
      </c>
      <c r="F128" s="348">
        <f>'PB VIII - Comp. Auxiliares'!F117</f>
        <v>8.81</v>
      </c>
      <c r="G128" s="339">
        <f t="shared" si="14"/>
        <v>528.6</v>
      </c>
      <c r="H128" s="333"/>
    </row>
    <row r="129" spans="1:8" s="304" customFormat="1" ht="22.5">
      <c r="A129" s="335">
        <v>91939</v>
      </c>
      <c r="B129" s="336" t="s">
        <v>222</v>
      </c>
      <c r="C129" s="343" t="s">
        <v>223</v>
      </c>
      <c r="D129" s="336" t="s">
        <v>224</v>
      </c>
      <c r="E129" s="195">
        <v>10</v>
      </c>
      <c r="F129" s="338">
        <v>21.78</v>
      </c>
      <c r="G129" s="339">
        <f t="shared" si="14"/>
        <v>217.8</v>
      </c>
      <c r="H129" s="333"/>
    </row>
    <row r="130" spans="1:8" s="304" customFormat="1" ht="22.5">
      <c r="A130" s="335">
        <v>91940</v>
      </c>
      <c r="B130" s="336" t="s">
        <v>225</v>
      </c>
      <c r="C130" s="343" t="s">
        <v>226</v>
      </c>
      <c r="D130" s="336" t="s">
        <v>224</v>
      </c>
      <c r="E130" s="195">
        <v>20</v>
      </c>
      <c r="F130" s="338">
        <v>11.24</v>
      </c>
      <c r="G130" s="339">
        <f t="shared" si="14"/>
        <v>224.8</v>
      </c>
      <c r="H130" s="333"/>
    </row>
    <row r="131" spans="1:8" s="304" customFormat="1" ht="22.5">
      <c r="A131" s="335">
        <v>91941</v>
      </c>
      <c r="B131" s="336" t="s">
        <v>227</v>
      </c>
      <c r="C131" s="343" t="s">
        <v>228</v>
      </c>
      <c r="D131" s="336" t="s">
        <v>28</v>
      </c>
      <c r="E131" s="195">
        <v>35</v>
      </c>
      <c r="F131" s="338">
        <v>7.3</v>
      </c>
      <c r="G131" s="339">
        <f t="shared" si="14"/>
        <v>255.5</v>
      </c>
      <c r="H131" s="333"/>
    </row>
    <row r="132" spans="1:8" s="304" customFormat="1" ht="12">
      <c r="A132" s="335">
        <v>83448</v>
      </c>
      <c r="B132" s="336" t="s">
        <v>229</v>
      </c>
      <c r="C132" s="343" t="s">
        <v>230</v>
      </c>
      <c r="D132" s="336" t="s">
        <v>28</v>
      </c>
      <c r="E132" s="195">
        <v>4</v>
      </c>
      <c r="F132" s="338">
        <v>236.97</v>
      </c>
      <c r="G132" s="339">
        <f t="shared" si="14"/>
        <v>947.88</v>
      </c>
      <c r="H132" s="333"/>
    </row>
    <row r="133" spans="1:8" s="304" customFormat="1" ht="12">
      <c r="A133" s="335"/>
      <c r="B133" s="345" t="s">
        <v>231</v>
      </c>
      <c r="C133" s="346" t="s">
        <v>232</v>
      </c>
      <c r="D133" s="336"/>
      <c r="E133" s="195"/>
      <c r="F133" s="338"/>
      <c r="G133" s="339"/>
      <c r="H133" s="333"/>
    </row>
    <row r="134" spans="1:8" s="304" customFormat="1" ht="33.75">
      <c r="A134" s="335">
        <v>91924</v>
      </c>
      <c r="B134" s="336" t="s">
        <v>233</v>
      </c>
      <c r="C134" s="343" t="s">
        <v>234</v>
      </c>
      <c r="D134" s="336" t="s">
        <v>55</v>
      </c>
      <c r="E134" s="195">
        <v>430.8</v>
      </c>
      <c r="F134" s="338">
        <v>1.57</v>
      </c>
      <c r="G134" s="339">
        <f>ROUND(E134*F134,2)</f>
        <v>676.36</v>
      </c>
      <c r="H134" s="333"/>
    </row>
    <row r="135" spans="1:8" s="304" customFormat="1" ht="33.75">
      <c r="A135" s="335">
        <v>91926</v>
      </c>
      <c r="B135" s="336" t="s">
        <v>235</v>
      </c>
      <c r="C135" s="343" t="s">
        <v>236</v>
      </c>
      <c r="D135" s="336" t="s">
        <v>55</v>
      </c>
      <c r="E135" s="195">
        <v>1063.8</v>
      </c>
      <c r="F135" s="338">
        <v>2.82</v>
      </c>
      <c r="G135" s="339">
        <f t="shared" ref="G135:G139" si="15">ROUND(E135*F135,2)</f>
        <v>2999.92</v>
      </c>
      <c r="H135" s="333"/>
    </row>
    <row r="136" spans="1:8" s="304" customFormat="1" ht="22.5">
      <c r="A136" s="335">
        <v>91928</v>
      </c>
      <c r="B136" s="336" t="s">
        <v>237</v>
      </c>
      <c r="C136" s="343" t="s">
        <v>238</v>
      </c>
      <c r="D136" s="336" t="s">
        <v>55</v>
      </c>
      <c r="E136" s="195">
        <v>173.9</v>
      </c>
      <c r="F136" s="338">
        <v>3.98</v>
      </c>
      <c r="G136" s="339">
        <f t="shared" si="15"/>
        <v>692.12</v>
      </c>
      <c r="H136" s="333"/>
    </row>
    <row r="137" spans="1:8" s="304" customFormat="1" ht="22.5">
      <c r="A137" s="335">
        <v>92980</v>
      </c>
      <c r="B137" s="336" t="s">
        <v>239</v>
      </c>
      <c r="C137" s="343" t="s">
        <v>240</v>
      </c>
      <c r="D137" s="336" t="s">
        <v>55</v>
      </c>
      <c r="E137" s="195">
        <v>12</v>
      </c>
      <c r="F137" s="338">
        <v>4.63</v>
      </c>
      <c r="G137" s="339">
        <f t="shared" si="15"/>
        <v>55.56</v>
      </c>
      <c r="H137" s="333"/>
    </row>
    <row r="138" spans="1:8" s="304" customFormat="1" ht="22.5">
      <c r="A138" s="335">
        <v>92984</v>
      </c>
      <c r="B138" s="336" t="s">
        <v>241</v>
      </c>
      <c r="C138" s="343" t="s">
        <v>242</v>
      </c>
      <c r="D138" s="336" t="s">
        <v>55</v>
      </c>
      <c r="E138" s="195">
        <v>52.1</v>
      </c>
      <c r="F138" s="338">
        <v>12.36</v>
      </c>
      <c r="G138" s="339">
        <f t="shared" si="15"/>
        <v>643.96</v>
      </c>
      <c r="H138" s="333"/>
    </row>
    <row r="139" spans="1:8" s="304" customFormat="1" ht="22.5">
      <c r="A139" s="335">
        <v>92988</v>
      </c>
      <c r="B139" s="336" t="s">
        <v>243</v>
      </c>
      <c r="C139" s="343" t="s">
        <v>244</v>
      </c>
      <c r="D139" s="336" t="s">
        <v>55</v>
      </c>
      <c r="E139" s="195">
        <v>78.099999999999994</v>
      </c>
      <c r="F139" s="338">
        <v>22.8</v>
      </c>
      <c r="G139" s="339">
        <f t="shared" si="15"/>
        <v>1780.68</v>
      </c>
      <c r="H139" s="333"/>
    </row>
    <row r="140" spans="1:8" s="304" customFormat="1" ht="12">
      <c r="A140" s="335"/>
      <c r="B140" s="345" t="s">
        <v>231</v>
      </c>
      <c r="C140" s="346" t="s">
        <v>245</v>
      </c>
      <c r="D140" s="336"/>
      <c r="E140" s="195"/>
      <c r="F140" s="338"/>
      <c r="G140" s="339"/>
      <c r="H140" s="333"/>
    </row>
    <row r="141" spans="1:8" s="304" customFormat="1" ht="12">
      <c r="A141" s="335">
        <v>72254</v>
      </c>
      <c r="B141" s="336" t="s">
        <v>246</v>
      </c>
      <c r="C141" s="343" t="s">
        <v>247</v>
      </c>
      <c r="D141" s="336" t="s">
        <v>55</v>
      </c>
      <c r="E141" s="195">
        <v>16.5</v>
      </c>
      <c r="F141" s="338">
        <v>30.47</v>
      </c>
      <c r="G141" s="339">
        <f>ROUND(E141*F141,2)</f>
        <v>502.76</v>
      </c>
      <c r="H141" s="333"/>
    </row>
    <row r="142" spans="1:8" s="304" customFormat="1" ht="33.75">
      <c r="A142" s="335" t="str">
        <f>'PB VIII - Comp. Auxiliares'!A119</f>
        <v>COMP. 15 - DPE</v>
      </c>
      <c r="B142" s="336" t="s">
        <v>248</v>
      </c>
      <c r="C142" s="343" t="s">
        <v>249</v>
      </c>
      <c r="D142" s="336" t="s">
        <v>28</v>
      </c>
      <c r="E142" s="195">
        <v>11</v>
      </c>
      <c r="F142" s="348">
        <f>'PB VIII - Comp. Auxiliares'!F125</f>
        <v>36.49</v>
      </c>
      <c r="G142" s="339">
        <f t="shared" ref="G142:G143" si="16">ROUND(E142*F142,2)</f>
        <v>401.39</v>
      </c>
      <c r="H142" s="333"/>
    </row>
    <row r="143" spans="1:8" s="304" customFormat="1" ht="22.5">
      <c r="A143" s="335" t="str">
        <f>'PB VIII - Comp. Auxiliares'!A127</f>
        <v>COMP. 16 - DPE</v>
      </c>
      <c r="B143" s="336" t="s">
        <v>250</v>
      </c>
      <c r="C143" s="343" t="s">
        <v>251</v>
      </c>
      <c r="D143" s="336" t="s">
        <v>28</v>
      </c>
      <c r="E143" s="195">
        <v>4</v>
      </c>
      <c r="F143" s="348">
        <f>'PB VIII - Comp. Auxiliares'!F131</f>
        <v>90.49</v>
      </c>
      <c r="G143" s="339">
        <f t="shared" si="16"/>
        <v>361.96</v>
      </c>
      <c r="H143" s="333"/>
    </row>
    <row r="144" spans="1:8" s="304" customFormat="1" ht="12">
      <c r="A144" s="335"/>
      <c r="B144" s="345" t="s">
        <v>252</v>
      </c>
      <c r="C144" s="346" t="s">
        <v>253</v>
      </c>
      <c r="D144" s="336"/>
      <c r="E144" s="195"/>
      <c r="F144" s="338"/>
      <c r="G144" s="339"/>
      <c r="H144" s="333"/>
    </row>
    <row r="145" spans="1:8" s="304" customFormat="1" ht="45">
      <c r="A145" s="335" t="s">
        <v>254</v>
      </c>
      <c r="B145" s="336" t="s">
        <v>255</v>
      </c>
      <c r="C145" s="343" t="s">
        <v>256</v>
      </c>
      <c r="D145" s="336" t="s">
        <v>28</v>
      </c>
      <c r="E145" s="195">
        <v>1</v>
      </c>
      <c r="F145" s="338">
        <v>249.8</v>
      </c>
      <c r="G145" s="339">
        <f>ROUND(E145*F145,2)</f>
        <v>249.8</v>
      </c>
      <c r="H145" s="333"/>
    </row>
    <row r="146" spans="1:8" s="304" customFormat="1" ht="33.75">
      <c r="A146" s="335" t="s">
        <v>257</v>
      </c>
      <c r="B146" s="336" t="s">
        <v>258</v>
      </c>
      <c r="C146" s="343" t="s">
        <v>259</v>
      </c>
      <c r="D146" s="336" t="s">
        <v>28</v>
      </c>
      <c r="E146" s="195">
        <v>1</v>
      </c>
      <c r="F146" s="338">
        <v>519.96</v>
      </c>
      <c r="G146" s="339">
        <f t="shared" ref="G146:G174" si="17">ROUND(E146*F146,2)</f>
        <v>519.96</v>
      </c>
      <c r="H146" s="333"/>
    </row>
    <row r="147" spans="1:8" s="304" customFormat="1" ht="22.5">
      <c r="A147" s="335">
        <v>93653</v>
      </c>
      <c r="B147" s="336" t="s">
        <v>260</v>
      </c>
      <c r="C147" s="343" t="s">
        <v>261</v>
      </c>
      <c r="D147" s="336" t="s">
        <v>28</v>
      </c>
      <c r="E147" s="195">
        <v>5</v>
      </c>
      <c r="F147" s="338">
        <v>7.94</v>
      </c>
      <c r="G147" s="339">
        <f t="shared" si="17"/>
        <v>39.700000000000003</v>
      </c>
      <c r="H147" s="333"/>
    </row>
    <row r="148" spans="1:8" s="304" customFormat="1" ht="22.5">
      <c r="A148" s="335">
        <v>93654</v>
      </c>
      <c r="B148" s="336" t="s">
        <v>262</v>
      </c>
      <c r="C148" s="343" t="s">
        <v>263</v>
      </c>
      <c r="D148" s="336" t="s">
        <v>28</v>
      </c>
      <c r="E148" s="195">
        <v>9</v>
      </c>
      <c r="F148" s="338">
        <v>8.43</v>
      </c>
      <c r="G148" s="339">
        <f t="shared" si="17"/>
        <v>75.87</v>
      </c>
      <c r="H148" s="333"/>
    </row>
    <row r="149" spans="1:8" s="304" customFormat="1" ht="22.5">
      <c r="A149" s="335">
        <v>93660</v>
      </c>
      <c r="B149" s="336" t="s">
        <v>264</v>
      </c>
      <c r="C149" s="343" t="s">
        <v>265</v>
      </c>
      <c r="D149" s="336" t="s">
        <v>28</v>
      </c>
      <c r="E149" s="195">
        <v>2</v>
      </c>
      <c r="F149" s="338">
        <v>39.270000000000003</v>
      </c>
      <c r="G149" s="339">
        <f t="shared" si="17"/>
        <v>78.540000000000006</v>
      </c>
      <c r="H149" s="333"/>
    </row>
    <row r="150" spans="1:8" s="304" customFormat="1" ht="22.5">
      <c r="A150" s="335">
        <v>93661</v>
      </c>
      <c r="B150" s="336" t="s">
        <v>266</v>
      </c>
      <c r="C150" s="343" t="s">
        <v>267</v>
      </c>
      <c r="D150" s="336" t="s">
        <v>28</v>
      </c>
      <c r="E150" s="195">
        <v>7</v>
      </c>
      <c r="F150" s="338">
        <v>40.42</v>
      </c>
      <c r="G150" s="339">
        <f t="shared" si="17"/>
        <v>282.94</v>
      </c>
      <c r="H150" s="333"/>
    </row>
    <row r="151" spans="1:8" s="304" customFormat="1" ht="22.5">
      <c r="A151" s="335">
        <v>93672</v>
      </c>
      <c r="B151" s="336" t="s">
        <v>268</v>
      </c>
      <c r="C151" s="343" t="s">
        <v>269</v>
      </c>
      <c r="D151" s="336" t="s">
        <v>28</v>
      </c>
      <c r="E151" s="195">
        <v>2</v>
      </c>
      <c r="F151" s="338">
        <v>61.33</v>
      </c>
      <c r="G151" s="339">
        <f t="shared" si="17"/>
        <v>122.66</v>
      </c>
      <c r="H151" s="333"/>
    </row>
    <row r="152" spans="1:8" s="304" customFormat="1" ht="22.5">
      <c r="A152" s="335" t="str">
        <f>'PB VIII - Comp. Auxiliares'!A134</f>
        <v>COMP. 17 - DPE</v>
      </c>
      <c r="B152" s="336" t="s">
        <v>270</v>
      </c>
      <c r="C152" s="343" t="s">
        <v>271</v>
      </c>
      <c r="D152" s="336" t="s">
        <v>28</v>
      </c>
      <c r="E152" s="195">
        <v>1</v>
      </c>
      <c r="F152" s="348">
        <f>'PB VIII - Comp. Auxiliares'!F140</f>
        <v>120.18</v>
      </c>
      <c r="G152" s="339">
        <f t="shared" si="17"/>
        <v>120.18</v>
      </c>
      <c r="H152" s="333"/>
    </row>
    <row r="153" spans="1:8" s="304" customFormat="1" ht="22.5">
      <c r="A153" s="335" t="str">
        <f>'PB VIII - Comp. Auxiliares'!A142</f>
        <v>COMP. 18 - DPE</v>
      </c>
      <c r="B153" s="336" t="s">
        <v>272</v>
      </c>
      <c r="C153" s="343" t="s">
        <v>273</v>
      </c>
      <c r="D153" s="336" t="s">
        <v>28</v>
      </c>
      <c r="E153" s="195">
        <v>2</v>
      </c>
      <c r="F153" s="348">
        <f>'PB VIII - Comp. Auxiliares'!F148</f>
        <v>109.53</v>
      </c>
      <c r="G153" s="339">
        <f t="shared" si="17"/>
        <v>219.06</v>
      </c>
      <c r="H153" s="333"/>
    </row>
    <row r="154" spans="1:8" s="304" customFormat="1" ht="33.75">
      <c r="A154" s="335" t="str">
        <f>'PB VIII - Comp. Auxiliares'!A150</f>
        <v>COMP. 19 - DPE</v>
      </c>
      <c r="B154" s="336" t="s">
        <v>274</v>
      </c>
      <c r="C154" s="343" t="s">
        <v>275</v>
      </c>
      <c r="D154" s="336" t="s">
        <v>28</v>
      </c>
      <c r="E154" s="195">
        <v>4</v>
      </c>
      <c r="F154" s="348">
        <f>'PB VIII - Comp. Auxiliares'!F157</f>
        <v>72.62</v>
      </c>
      <c r="G154" s="339">
        <f t="shared" si="17"/>
        <v>290.48</v>
      </c>
      <c r="H154" s="333"/>
    </row>
    <row r="155" spans="1:8" s="304" customFormat="1" ht="33.75">
      <c r="A155" s="335" t="str">
        <f>'PB VIII - Comp. Auxiliares'!A159</f>
        <v>COMP. 20 - DPE</v>
      </c>
      <c r="B155" s="336" t="s">
        <v>276</v>
      </c>
      <c r="C155" s="343" t="s">
        <v>277</v>
      </c>
      <c r="D155" s="336" t="s">
        <v>28</v>
      </c>
      <c r="E155" s="195">
        <v>1</v>
      </c>
      <c r="F155" s="348">
        <f>'PB VIII - Comp. Auxiliares'!F175</f>
        <v>1165.54</v>
      </c>
      <c r="G155" s="339">
        <f t="shared" si="17"/>
        <v>1165.54</v>
      </c>
      <c r="H155" s="333"/>
    </row>
    <row r="156" spans="1:8" s="304" customFormat="1" ht="12">
      <c r="A156" s="335"/>
      <c r="B156" s="336"/>
      <c r="C156" s="343"/>
      <c r="D156" s="336"/>
      <c r="E156" s="195"/>
      <c r="F156" s="348"/>
      <c r="G156" s="339"/>
      <c r="H156" s="333"/>
    </row>
    <row r="157" spans="1:8" s="304" customFormat="1" ht="12">
      <c r="A157" s="359"/>
      <c r="B157" s="360">
        <v>13</v>
      </c>
      <c r="C157" s="361" t="s">
        <v>278</v>
      </c>
      <c r="D157" s="360"/>
      <c r="E157" s="362"/>
      <c r="F157" s="363"/>
      <c r="G157" s="323">
        <f>SUM(G158:G174)</f>
        <v>2737.24</v>
      </c>
      <c r="H157" s="333"/>
    </row>
    <row r="158" spans="1:8" s="304" customFormat="1" ht="22.5">
      <c r="A158" s="335">
        <v>90456</v>
      </c>
      <c r="B158" s="336" t="s">
        <v>279</v>
      </c>
      <c r="C158" s="343" t="s">
        <v>219</v>
      </c>
      <c r="D158" s="336" t="s">
        <v>28</v>
      </c>
      <c r="E158" s="195">
        <v>12</v>
      </c>
      <c r="F158" s="338">
        <v>3.44</v>
      </c>
      <c r="G158" s="339">
        <f t="shared" si="17"/>
        <v>41.28</v>
      </c>
      <c r="H158" s="333"/>
    </row>
    <row r="159" spans="1:8" s="304" customFormat="1" ht="22.5">
      <c r="A159" s="335">
        <v>91941</v>
      </c>
      <c r="B159" s="336" t="s">
        <v>280</v>
      </c>
      <c r="C159" s="343" t="s">
        <v>228</v>
      </c>
      <c r="D159" s="336" t="s">
        <v>28</v>
      </c>
      <c r="E159" s="195">
        <v>12</v>
      </c>
      <c r="F159" s="338">
        <v>7.3</v>
      </c>
      <c r="G159" s="339">
        <f t="shared" si="17"/>
        <v>87.6</v>
      </c>
      <c r="H159" s="333"/>
    </row>
    <row r="160" spans="1:8" s="304" customFormat="1" ht="22.5">
      <c r="A160" s="335" t="str">
        <f>'PB VIII - Comp. Auxiliares'!A177</f>
        <v>COMP. 21 - DPE</v>
      </c>
      <c r="B160" s="336" t="s">
        <v>281</v>
      </c>
      <c r="C160" s="343" t="s">
        <v>282</v>
      </c>
      <c r="D160" s="336" t="s">
        <v>28</v>
      </c>
      <c r="E160" s="195">
        <v>1</v>
      </c>
      <c r="F160" s="348">
        <f>'PB VIII - Comp. Auxiliares'!F181</f>
        <v>23.16</v>
      </c>
      <c r="G160" s="339">
        <f t="shared" si="17"/>
        <v>23.16</v>
      </c>
      <c r="H160" s="333"/>
    </row>
    <row r="161" spans="1:8" s="304" customFormat="1" ht="22.5">
      <c r="A161" s="335" t="str">
        <f>'PB VIII - Comp. Auxiliares'!A183</f>
        <v>COMP. 22 - DPE</v>
      </c>
      <c r="B161" s="336" t="s">
        <v>283</v>
      </c>
      <c r="C161" s="343" t="s">
        <v>284</v>
      </c>
      <c r="D161" s="336" t="s">
        <v>28</v>
      </c>
      <c r="E161" s="195">
        <v>4</v>
      </c>
      <c r="F161" s="348">
        <f>'PB VIII - Comp. Auxiliares'!F187</f>
        <v>40.43</v>
      </c>
      <c r="G161" s="339">
        <f t="shared" si="17"/>
        <v>161.72</v>
      </c>
      <c r="H161" s="333"/>
    </row>
    <row r="162" spans="1:8" s="304" customFormat="1" ht="22.5">
      <c r="A162" s="335" t="str">
        <f>'PB VIII - Comp. Auxiliares'!A189</f>
        <v>COMP. 23- DPE</v>
      </c>
      <c r="B162" s="336" t="s">
        <v>285</v>
      </c>
      <c r="C162" s="343" t="s">
        <v>286</v>
      </c>
      <c r="D162" s="336" t="s">
        <v>28</v>
      </c>
      <c r="E162" s="195">
        <v>7</v>
      </c>
      <c r="F162" s="348">
        <f>'PB VIII - Comp. Auxiliares'!F193</f>
        <v>62.84</v>
      </c>
      <c r="G162" s="339">
        <f t="shared" si="17"/>
        <v>439.88</v>
      </c>
      <c r="H162" s="333"/>
    </row>
    <row r="163" spans="1:8" s="304" customFormat="1" ht="22.5">
      <c r="A163" s="335" t="str">
        <f>'PB VIII - Comp. Auxiliares'!A195</f>
        <v>COMP. 24 - DPE</v>
      </c>
      <c r="B163" s="336" t="s">
        <v>287</v>
      </c>
      <c r="C163" s="343" t="s">
        <v>288</v>
      </c>
      <c r="D163" s="336" t="s">
        <v>289</v>
      </c>
      <c r="E163" s="195">
        <v>36.1</v>
      </c>
      <c r="F163" s="348">
        <f>'PB VIII - Comp. Auxiliares'!F201</f>
        <v>10.72</v>
      </c>
      <c r="G163" s="339">
        <f t="shared" si="17"/>
        <v>386.99</v>
      </c>
      <c r="H163" s="333"/>
    </row>
    <row r="164" spans="1:8" s="304" customFormat="1" ht="22.5">
      <c r="A164" s="335" t="str">
        <f>'PB VIII - Comp. Auxiliares'!A203</f>
        <v>COMP. 25 - DPE</v>
      </c>
      <c r="B164" s="336" t="s">
        <v>290</v>
      </c>
      <c r="C164" s="343" t="s">
        <v>291</v>
      </c>
      <c r="D164" s="336" t="s">
        <v>28</v>
      </c>
      <c r="E164" s="195">
        <v>2</v>
      </c>
      <c r="F164" s="348">
        <f>'PB VIII - Comp. Auxiliares'!F212</f>
        <v>35.130000000000003</v>
      </c>
      <c r="G164" s="339">
        <f t="shared" si="17"/>
        <v>70.260000000000005</v>
      </c>
      <c r="H164" s="333"/>
    </row>
    <row r="165" spans="1:8" s="304" customFormat="1" ht="22.5">
      <c r="A165" s="335" t="str">
        <f>'PB VIII - Comp. Auxiliares'!A215</f>
        <v>COMP. 26 - DPE</v>
      </c>
      <c r="B165" s="336" t="s">
        <v>292</v>
      </c>
      <c r="C165" s="343" t="s">
        <v>293</v>
      </c>
      <c r="D165" s="336" t="s">
        <v>28</v>
      </c>
      <c r="E165" s="195">
        <v>2</v>
      </c>
      <c r="F165" s="348">
        <f>'PB VIII - Comp. Auxiliares'!F224</f>
        <v>27.3</v>
      </c>
      <c r="G165" s="339">
        <f t="shared" si="17"/>
        <v>54.6</v>
      </c>
      <c r="H165" s="333"/>
    </row>
    <row r="166" spans="1:8" s="304" customFormat="1" ht="22.5">
      <c r="A166" s="335" t="str">
        <f>'PB VIII - Comp. Auxiliares'!A226</f>
        <v>COMP. 27 - DPE</v>
      </c>
      <c r="B166" s="336" t="s">
        <v>294</v>
      </c>
      <c r="C166" s="343" t="s">
        <v>295</v>
      </c>
      <c r="D166" s="336" t="s">
        <v>28</v>
      </c>
      <c r="E166" s="195">
        <v>1</v>
      </c>
      <c r="F166" s="328">
        <f>'PB VIII - Comp. Auxiliares'!F232</f>
        <v>19.72</v>
      </c>
      <c r="G166" s="339">
        <f t="shared" si="17"/>
        <v>19.72</v>
      </c>
      <c r="H166" s="333"/>
    </row>
    <row r="167" spans="1:8" s="304" customFormat="1" ht="22.5">
      <c r="A167" s="335" t="str">
        <f>'PB VIII - Comp. Auxiliares'!A234</f>
        <v>COMP. 28 - DPE</v>
      </c>
      <c r="B167" s="336" t="s">
        <v>296</v>
      </c>
      <c r="C167" s="343" t="s">
        <v>297</v>
      </c>
      <c r="D167" s="336" t="s">
        <v>28</v>
      </c>
      <c r="E167" s="195">
        <v>3</v>
      </c>
      <c r="F167" s="348">
        <f>'PB VIII - Comp. Auxiliares'!F239</f>
        <v>7.23</v>
      </c>
      <c r="G167" s="339">
        <f t="shared" si="17"/>
        <v>21.69</v>
      </c>
      <c r="H167" s="333"/>
    </row>
    <row r="168" spans="1:8" s="304" customFormat="1" ht="22.5">
      <c r="A168" s="335" t="str">
        <f>'PB VIII - Comp. Auxiliares'!A241</f>
        <v>COMP. 29 - DPE</v>
      </c>
      <c r="B168" s="336" t="s">
        <v>298</v>
      </c>
      <c r="C168" s="343" t="s">
        <v>299</v>
      </c>
      <c r="D168" s="336" t="s">
        <v>28</v>
      </c>
      <c r="E168" s="195">
        <v>12</v>
      </c>
      <c r="F168" s="348">
        <f>'PB VIII - Comp. Auxiliares'!F246</f>
        <v>7.21</v>
      </c>
      <c r="G168" s="339">
        <f t="shared" si="17"/>
        <v>86.52</v>
      </c>
      <c r="H168" s="333"/>
    </row>
    <row r="169" spans="1:8" s="304" customFormat="1" ht="22.5">
      <c r="A169" s="335">
        <v>90447</v>
      </c>
      <c r="B169" s="336" t="s">
        <v>300</v>
      </c>
      <c r="C169" s="343" t="s">
        <v>207</v>
      </c>
      <c r="D169" s="336" t="s">
        <v>55</v>
      </c>
      <c r="E169" s="195">
        <v>28.6</v>
      </c>
      <c r="F169" s="338">
        <v>5.21</v>
      </c>
      <c r="G169" s="339">
        <f t="shared" si="17"/>
        <v>149.01</v>
      </c>
      <c r="H169" s="333"/>
    </row>
    <row r="170" spans="1:8" s="304" customFormat="1" ht="22.5">
      <c r="A170" s="335">
        <v>90466</v>
      </c>
      <c r="B170" s="336" t="s">
        <v>301</v>
      </c>
      <c r="C170" s="343" t="s">
        <v>209</v>
      </c>
      <c r="D170" s="336" t="s">
        <v>55</v>
      </c>
      <c r="E170" s="195">
        <v>28.6</v>
      </c>
      <c r="F170" s="338">
        <v>10.66</v>
      </c>
      <c r="G170" s="339">
        <f t="shared" si="17"/>
        <v>304.88</v>
      </c>
      <c r="H170" s="333"/>
    </row>
    <row r="171" spans="1:8" s="304" customFormat="1" ht="22.5">
      <c r="A171" s="335">
        <v>95745</v>
      </c>
      <c r="B171" s="336" t="s">
        <v>302</v>
      </c>
      <c r="C171" s="343" t="s">
        <v>303</v>
      </c>
      <c r="D171" s="336" t="s">
        <v>55</v>
      </c>
      <c r="E171" s="195">
        <v>16.7</v>
      </c>
      <c r="F171" s="338">
        <v>14.84</v>
      </c>
      <c r="G171" s="339">
        <f t="shared" si="17"/>
        <v>247.83</v>
      </c>
      <c r="H171" s="333"/>
    </row>
    <row r="172" spans="1:8" s="304" customFormat="1" ht="33.75">
      <c r="A172" s="335">
        <v>91854</v>
      </c>
      <c r="B172" s="336" t="s">
        <v>304</v>
      </c>
      <c r="C172" s="343" t="s">
        <v>211</v>
      </c>
      <c r="D172" s="336" t="s">
        <v>55</v>
      </c>
      <c r="E172" s="195">
        <v>28.6</v>
      </c>
      <c r="F172" s="338">
        <v>6.66</v>
      </c>
      <c r="G172" s="339">
        <f t="shared" si="17"/>
        <v>190.48</v>
      </c>
      <c r="H172" s="333"/>
    </row>
    <row r="173" spans="1:8" s="304" customFormat="1" ht="22.5">
      <c r="A173" s="335">
        <v>93009</v>
      </c>
      <c r="B173" s="336" t="s">
        <v>305</v>
      </c>
      <c r="C173" s="343" t="s">
        <v>306</v>
      </c>
      <c r="D173" s="336" t="s">
        <v>55</v>
      </c>
      <c r="E173" s="195">
        <v>20</v>
      </c>
      <c r="F173" s="338">
        <v>13.52</v>
      </c>
      <c r="G173" s="339">
        <f t="shared" si="17"/>
        <v>270.39999999999998</v>
      </c>
      <c r="H173" s="333"/>
    </row>
    <row r="174" spans="1:8" s="304" customFormat="1" ht="22.5">
      <c r="A174" s="335" t="s">
        <v>307</v>
      </c>
      <c r="B174" s="336" t="s">
        <v>308</v>
      </c>
      <c r="C174" s="343" t="s">
        <v>309</v>
      </c>
      <c r="D174" s="336" t="s">
        <v>28</v>
      </c>
      <c r="E174" s="195">
        <v>1</v>
      </c>
      <c r="F174" s="338">
        <v>181.22</v>
      </c>
      <c r="G174" s="339">
        <f t="shared" si="17"/>
        <v>181.22</v>
      </c>
      <c r="H174" s="333"/>
    </row>
    <row r="175" spans="1:8" s="304" customFormat="1" ht="12">
      <c r="A175" s="335"/>
      <c r="B175" s="336"/>
      <c r="C175" s="343"/>
      <c r="D175" s="336"/>
      <c r="E175" s="195"/>
      <c r="F175" s="338"/>
      <c r="G175" s="339"/>
      <c r="H175" s="333"/>
    </row>
    <row r="176" spans="1:8" s="304" customFormat="1" ht="12">
      <c r="A176" s="319"/>
      <c r="B176" s="315">
        <v>14</v>
      </c>
      <c r="C176" s="320" t="s">
        <v>310</v>
      </c>
      <c r="D176" s="321"/>
      <c r="E176" s="342"/>
      <c r="F176" s="342"/>
      <c r="G176" s="323">
        <f>SUM(G177:G178)</f>
        <v>1885.84</v>
      </c>
      <c r="H176" s="333"/>
    </row>
    <row r="177" spans="1:9" s="304" customFormat="1" ht="22.5">
      <c r="A177" s="324" t="str">
        <f>'PB VIII - Comp. Auxiliares'!A248</f>
        <v>COMP. 30 - DPE</v>
      </c>
      <c r="B177" s="327" t="s">
        <v>311</v>
      </c>
      <c r="C177" s="340" t="s">
        <v>312</v>
      </c>
      <c r="D177" s="327" t="s">
        <v>18</v>
      </c>
      <c r="E177" s="329">
        <f>'PB VI - MEMÓRIA DE CÁLCULO'!G266</f>
        <v>5.94</v>
      </c>
      <c r="F177" s="348">
        <f>'PB VIII - Comp. Auxiliares'!F254</f>
        <v>193.42</v>
      </c>
      <c r="G177" s="330">
        <f>ROUND(E177*F177,2)</f>
        <v>1148.9100000000001</v>
      </c>
      <c r="H177" s="333"/>
    </row>
    <row r="178" spans="1:9" s="304" customFormat="1" ht="22.5">
      <c r="A178" s="324" t="str">
        <f>'PB VIII - Comp. Auxiliares'!A248</f>
        <v>COMP. 30 - DPE</v>
      </c>
      <c r="B178" s="327" t="s">
        <v>313</v>
      </c>
      <c r="C178" s="340" t="s">
        <v>314</v>
      </c>
      <c r="D178" s="327" t="s">
        <v>18</v>
      </c>
      <c r="E178" s="329">
        <f>'PB VI - MEMÓRIA DE CÁLCULO'!G267</f>
        <v>3.81</v>
      </c>
      <c r="F178" s="348">
        <f>'PB VIII - Comp. Auxiliares'!F254</f>
        <v>193.42</v>
      </c>
      <c r="G178" s="330">
        <f>ROUND(E178*F178,2)</f>
        <v>736.93</v>
      </c>
      <c r="H178" s="333"/>
    </row>
    <row r="179" spans="1:9" s="304" customFormat="1" ht="12">
      <c r="A179" s="335"/>
      <c r="B179" s="336"/>
      <c r="C179" s="343"/>
      <c r="D179" s="336"/>
      <c r="E179" s="195"/>
      <c r="F179" s="338"/>
      <c r="G179" s="339"/>
      <c r="H179" s="333"/>
    </row>
    <row r="180" spans="1:9" s="304" customFormat="1" ht="12.75">
      <c r="A180" s="319"/>
      <c r="B180" s="315">
        <v>15</v>
      </c>
      <c r="C180" s="320" t="s">
        <v>315</v>
      </c>
      <c r="D180" s="321"/>
      <c r="E180" s="342"/>
      <c r="F180" s="342"/>
      <c r="G180" s="323">
        <f>SUM(G181:G189)</f>
        <v>7269.69</v>
      </c>
      <c r="H180" s="318"/>
    </row>
    <row r="181" spans="1:9" s="304" customFormat="1" ht="12">
      <c r="A181" s="335">
        <v>85186</v>
      </c>
      <c r="B181" s="336" t="s">
        <v>316</v>
      </c>
      <c r="C181" s="343" t="s">
        <v>317</v>
      </c>
      <c r="D181" s="336" t="s">
        <v>28</v>
      </c>
      <c r="E181" s="329">
        <v>2</v>
      </c>
      <c r="F181" s="332">
        <v>88.75</v>
      </c>
      <c r="G181" s="339">
        <f>ROUND(E181*F181,2)</f>
        <v>177.5</v>
      </c>
      <c r="H181" s="333"/>
    </row>
    <row r="182" spans="1:9" s="304" customFormat="1" ht="22.5">
      <c r="A182" s="335" t="str">
        <f>'PB VIII - Comp. Auxiliares'!A256</f>
        <v>COMP. 31 - DPE</v>
      </c>
      <c r="B182" s="336" t="s">
        <v>318</v>
      </c>
      <c r="C182" s="343" t="s">
        <v>319</v>
      </c>
      <c r="D182" s="336" t="s">
        <v>28</v>
      </c>
      <c r="E182" s="329">
        <v>1</v>
      </c>
      <c r="F182" s="348">
        <f>'PB VIII - Comp. Auxiliares'!F266</f>
        <v>21.6</v>
      </c>
      <c r="G182" s="339">
        <f t="shared" ref="G182:G189" si="18">ROUND(E182*F182,2)</f>
        <v>21.6</v>
      </c>
      <c r="H182" s="333"/>
    </row>
    <row r="183" spans="1:9" s="304" customFormat="1" ht="22.5">
      <c r="A183" s="335" t="str">
        <f>'PB VIII - Comp. Auxiliares'!A262</f>
        <v>COMP. 32 - DPE</v>
      </c>
      <c r="B183" s="336" t="s">
        <v>320</v>
      </c>
      <c r="C183" s="343" t="s">
        <v>321</v>
      </c>
      <c r="D183" s="336" t="s">
        <v>28</v>
      </c>
      <c r="E183" s="329">
        <v>1</v>
      </c>
      <c r="F183" s="348">
        <f>'PB VIII - Comp. Auxiliares'!F266</f>
        <v>21.6</v>
      </c>
      <c r="G183" s="339">
        <f t="shared" si="18"/>
        <v>21.6</v>
      </c>
      <c r="H183" s="333"/>
    </row>
    <row r="184" spans="1:9" s="304" customFormat="1" ht="15.95" customHeight="1">
      <c r="A184" s="335">
        <v>9537</v>
      </c>
      <c r="B184" s="336" t="s">
        <v>322</v>
      </c>
      <c r="C184" s="343" t="s">
        <v>323</v>
      </c>
      <c r="D184" s="336" t="s">
        <v>18</v>
      </c>
      <c r="E184" s="329">
        <f>'PB VI - MEMÓRIA DE CÁLCULO'!G10-'PB VI - MEMÓRIA DE CÁLCULO'!G12</f>
        <v>737.95</v>
      </c>
      <c r="F184" s="338">
        <v>2.21</v>
      </c>
      <c r="G184" s="339">
        <f t="shared" si="18"/>
        <v>1630.87</v>
      </c>
      <c r="H184" s="333"/>
    </row>
    <row r="185" spans="1:9" s="304" customFormat="1" ht="15.95" customHeight="1">
      <c r="A185" s="335">
        <v>84125</v>
      </c>
      <c r="B185" s="336" t="s">
        <v>324</v>
      </c>
      <c r="C185" s="343" t="s">
        <v>325</v>
      </c>
      <c r="D185" s="336" t="s">
        <v>18</v>
      </c>
      <c r="E185" s="329">
        <f>'PB VI - MEMÓRIA DE CÁLCULO'!G285</f>
        <v>98.82</v>
      </c>
      <c r="F185" s="338">
        <v>6.82</v>
      </c>
      <c r="G185" s="339">
        <f t="shared" si="18"/>
        <v>673.95</v>
      </c>
      <c r="H185" s="333"/>
    </row>
    <row r="186" spans="1:9" s="304" customFormat="1" ht="23.1" customHeight="1">
      <c r="A186" s="335" t="s">
        <v>326</v>
      </c>
      <c r="B186" s="336" t="s">
        <v>327</v>
      </c>
      <c r="C186" s="343" t="s">
        <v>328</v>
      </c>
      <c r="D186" s="336" t="s">
        <v>18</v>
      </c>
      <c r="E186" s="329">
        <f>'PB VI - MEMÓRIA DE CÁLCULO'!G12</f>
        <v>180.05</v>
      </c>
      <c r="F186" s="338">
        <v>18.940000000000001</v>
      </c>
      <c r="G186" s="339">
        <f t="shared" si="18"/>
        <v>3410.15</v>
      </c>
      <c r="H186" s="333"/>
    </row>
    <row r="187" spans="1:9" s="304" customFormat="1" ht="22.5">
      <c r="A187" s="324">
        <v>10851</v>
      </c>
      <c r="B187" s="336" t="s">
        <v>329</v>
      </c>
      <c r="C187" s="331" t="s">
        <v>330</v>
      </c>
      <c r="D187" s="327" t="s">
        <v>28</v>
      </c>
      <c r="E187" s="329">
        <v>14</v>
      </c>
      <c r="F187" s="338">
        <v>43.99</v>
      </c>
      <c r="G187" s="330">
        <f t="shared" si="18"/>
        <v>615.86</v>
      </c>
      <c r="H187" s="333"/>
    </row>
    <row r="188" spans="1:9" s="304" customFormat="1" ht="22.5">
      <c r="A188" s="324">
        <v>10848</v>
      </c>
      <c r="B188" s="336" t="s">
        <v>331</v>
      </c>
      <c r="C188" s="331" t="s">
        <v>332</v>
      </c>
      <c r="D188" s="327" t="s">
        <v>28</v>
      </c>
      <c r="E188" s="329">
        <v>1</v>
      </c>
      <c r="F188" s="338">
        <v>678.38</v>
      </c>
      <c r="G188" s="330">
        <f t="shared" si="18"/>
        <v>678.38</v>
      </c>
      <c r="H188" s="333"/>
      <c r="I188" s="304" t="s">
        <v>333</v>
      </c>
    </row>
    <row r="189" spans="1:9" s="304" customFormat="1" ht="22.5">
      <c r="A189" s="335" t="str">
        <f>'PB VIII - Comp. Auxiliares'!A268</f>
        <v>COMP. 33 - DPE</v>
      </c>
      <c r="B189" s="336" t="s">
        <v>334</v>
      </c>
      <c r="C189" s="343" t="s">
        <v>335</v>
      </c>
      <c r="D189" s="336" t="s">
        <v>46</v>
      </c>
      <c r="E189" s="329">
        <f>ROUND(0.05*0.6*0.5*2.6,2)</f>
        <v>0.04</v>
      </c>
      <c r="F189" s="348">
        <f>'PB VIII - Comp. Auxiliares'!F274</f>
        <v>994.52</v>
      </c>
      <c r="G189" s="339">
        <f t="shared" si="18"/>
        <v>39.78</v>
      </c>
      <c r="H189" s="333"/>
    </row>
    <row r="190" spans="1:9" s="304" customFormat="1" ht="12">
      <c r="A190" s="335"/>
      <c r="B190" s="336"/>
      <c r="C190" s="343"/>
      <c r="D190" s="336"/>
      <c r="E190" s="364"/>
      <c r="F190" s="348"/>
      <c r="G190" s="339"/>
      <c r="H190" s="333"/>
    </row>
    <row r="191" spans="1:9" s="304" customFormat="1" ht="12">
      <c r="A191" s="365"/>
      <c r="B191" s="366">
        <v>16</v>
      </c>
      <c r="C191" s="367" t="s">
        <v>336</v>
      </c>
      <c r="D191" s="365"/>
      <c r="E191" s="368"/>
      <c r="F191" s="368"/>
      <c r="G191" s="369">
        <f>SUM(G192:G197)</f>
        <v>1386.07</v>
      </c>
      <c r="H191" s="333"/>
    </row>
    <row r="192" spans="1:9" s="304" customFormat="1" ht="12">
      <c r="A192" s="327">
        <v>89168</v>
      </c>
      <c r="B192" s="327" t="s">
        <v>337</v>
      </c>
      <c r="C192" s="331" t="s">
        <v>338</v>
      </c>
      <c r="D192" s="327" t="s">
        <v>18</v>
      </c>
      <c r="E192" s="329">
        <f>'PB VI - MEMÓRIA DE CÁLCULO'!F271</f>
        <v>11.5</v>
      </c>
      <c r="F192" s="358">
        <v>63.16</v>
      </c>
      <c r="G192" s="330">
        <f>ROUND(E192*F192,2)</f>
        <v>726.34</v>
      </c>
      <c r="H192" s="333"/>
    </row>
    <row r="193" spans="1:10" s="304" customFormat="1" ht="12">
      <c r="A193" s="327">
        <v>95241</v>
      </c>
      <c r="B193" s="327" t="s">
        <v>339</v>
      </c>
      <c r="C193" s="331" t="s">
        <v>340</v>
      </c>
      <c r="D193" s="327" t="s">
        <v>18</v>
      </c>
      <c r="E193" s="329">
        <f>'PB VI - MEMÓRIA DE CÁLCULO'!F272</f>
        <v>1</v>
      </c>
      <c r="F193" s="358">
        <v>22.65</v>
      </c>
      <c r="G193" s="330">
        <f t="shared" ref="G193:G197" si="19">ROUND(E193*F193,2)</f>
        <v>22.65</v>
      </c>
      <c r="H193" s="333"/>
    </row>
    <row r="194" spans="1:10" s="304" customFormat="1" ht="12">
      <c r="A194" s="327">
        <v>92544</v>
      </c>
      <c r="B194" s="327" t="s">
        <v>341</v>
      </c>
      <c r="C194" s="331" t="s">
        <v>342</v>
      </c>
      <c r="D194" s="327" t="s">
        <v>18</v>
      </c>
      <c r="E194" s="329">
        <f>'PB VI - MEMÓRIA DE CÁLCULO'!F273</f>
        <v>2.25</v>
      </c>
      <c r="F194" s="358">
        <v>9.68</v>
      </c>
      <c r="G194" s="330">
        <f t="shared" si="19"/>
        <v>21.78</v>
      </c>
      <c r="H194" s="333"/>
    </row>
    <row r="195" spans="1:10" s="304" customFormat="1" ht="12">
      <c r="A195" s="327">
        <v>94207</v>
      </c>
      <c r="B195" s="327" t="s">
        <v>343</v>
      </c>
      <c r="C195" s="331" t="s">
        <v>344</v>
      </c>
      <c r="D195" s="327" t="s">
        <v>18</v>
      </c>
      <c r="E195" s="329">
        <f>'PB VI - MEMÓRIA DE CÁLCULO'!F273</f>
        <v>2.25</v>
      </c>
      <c r="F195" s="358">
        <v>31.19</v>
      </c>
      <c r="G195" s="330">
        <f t="shared" si="19"/>
        <v>70.180000000000007</v>
      </c>
      <c r="H195" s="333"/>
    </row>
    <row r="196" spans="1:10" s="304" customFormat="1" ht="22.5">
      <c r="A196" s="327">
        <v>94990</v>
      </c>
      <c r="B196" s="327" t="s">
        <v>345</v>
      </c>
      <c r="C196" s="331" t="s">
        <v>346</v>
      </c>
      <c r="D196" s="327" t="s">
        <v>46</v>
      </c>
      <c r="E196" s="329">
        <f>'PB VI - MEMÓRIA DE CÁLCULO'!G274</f>
        <v>0.7</v>
      </c>
      <c r="F196" s="358">
        <v>623.91999999999996</v>
      </c>
      <c r="G196" s="330">
        <f t="shared" si="19"/>
        <v>436.74</v>
      </c>
      <c r="H196" s="333"/>
    </row>
    <row r="197" spans="1:10" s="304" customFormat="1" ht="12">
      <c r="A197" s="327">
        <v>7156</v>
      </c>
      <c r="B197" s="327" t="s">
        <v>347</v>
      </c>
      <c r="C197" s="331" t="s">
        <v>348</v>
      </c>
      <c r="D197" s="327" t="s">
        <v>18</v>
      </c>
      <c r="E197" s="329">
        <f>ROUND('PB VI - MEMÓRIA DE CÁLCULO'!C274*'PB VI - MEMÓRIA DE CÁLCULO'!E274,2)</f>
        <v>4.7</v>
      </c>
      <c r="F197" s="358">
        <v>23.06</v>
      </c>
      <c r="G197" s="330">
        <f t="shared" si="19"/>
        <v>108.38</v>
      </c>
      <c r="H197" s="333"/>
    </row>
    <row r="198" spans="1:10" s="304" customFormat="1" ht="12">
      <c r="A198" s="335"/>
      <c r="B198" s="336"/>
      <c r="C198" s="343"/>
      <c r="D198" s="336"/>
      <c r="E198" s="364"/>
      <c r="F198" s="348"/>
      <c r="G198" s="339"/>
      <c r="H198" s="333"/>
    </row>
    <row r="199" spans="1:10" s="304" customFormat="1" ht="15.95" customHeight="1">
      <c r="A199" s="319"/>
      <c r="B199" s="315">
        <v>17</v>
      </c>
      <c r="C199" s="320" t="s">
        <v>349</v>
      </c>
      <c r="D199" s="315"/>
      <c r="E199" s="370"/>
      <c r="F199" s="370"/>
      <c r="G199" s="323">
        <f>SUM(G200:G201)</f>
        <v>35154.61</v>
      </c>
      <c r="H199" s="318"/>
    </row>
    <row r="200" spans="1:10" ht="22.5">
      <c r="A200" s="335" t="str">
        <f>'PB VIII - Comp. Auxiliares'!A277</f>
        <v>COMP. 34 - DPE</v>
      </c>
      <c r="B200" s="336" t="s">
        <v>350</v>
      </c>
      <c r="C200" s="343" t="s">
        <v>351</v>
      </c>
      <c r="D200" s="371" t="s">
        <v>28</v>
      </c>
      <c r="E200" s="372">
        <v>1</v>
      </c>
      <c r="F200" s="373">
        <f>'PB VIII - Comp. Auxiliares'!F280</f>
        <v>683.28</v>
      </c>
      <c r="G200" s="339">
        <f>ROUND(E200*F200,2)</f>
        <v>683.28</v>
      </c>
      <c r="I200" s="390"/>
      <c r="J200" s="391"/>
    </row>
    <row r="201" spans="1:10" ht="22.5">
      <c r="A201" s="335" t="str">
        <f>'PB VIII - Comp. Auxiliares'!A283</f>
        <v>COMP. 35 - DPE</v>
      </c>
      <c r="B201" s="336" t="s">
        <v>352</v>
      </c>
      <c r="C201" s="343" t="s">
        <v>353</v>
      </c>
      <c r="D201" s="371" t="s">
        <v>28</v>
      </c>
      <c r="E201" s="372">
        <v>1</v>
      </c>
      <c r="F201" s="373">
        <f>'PB VIII - Comp. Auxiliares'!F288</f>
        <v>34471.33</v>
      </c>
      <c r="G201" s="339">
        <f>ROUND(E201*F201,2)</f>
        <v>34471.33</v>
      </c>
      <c r="I201" s="390"/>
      <c r="J201" s="390"/>
    </row>
    <row r="202" spans="1:10" ht="15.95" customHeight="1">
      <c r="A202" s="374"/>
      <c r="B202" s="375"/>
      <c r="C202" s="376"/>
      <c r="D202" s="375"/>
      <c r="E202" s="375"/>
      <c r="F202" s="375"/>
      <c r="G202" s="375"/>
      <c r="H202" s="377"/>
      <c r="I202" s="392"/>
      <c r="J202" s="390"/>
    </row>
    <row r="203" spans="1:10" ht="15.95" customHeight="1">
      <c r="A203" s="405" t="s">
        <v>354</v>
      </c>
      <c r="B203" s="406"/>
      <c r="C203" s="406"/>
      <c r="D203" s="406"/>
      <c r="E203" s="407"/>
      <c r="F203" s="408">
        <f>ROUND(SUM(G11,G25,G37,G41,G47,G58,G180,G199,G96,G105,G61,G74,G78,G86,G157,G176,G191),2)</f>
        <v>169674.67</v>
      </c>
      <c r="G203" s="409"/>
      <c r="H203" s="378">
        <f>SUM(G11:G201)/2</f>
        <v>169674.67125000001</v>
      </c>
      <c r="I203" s="393">
        <f>F203-G199</f>
        <v>134520.06</v>
      </c>
      <c r="J203" s="390"/>
    </row>
    <row r="204" spans="1:10" ht="15.95" customHeight="1">
      <c r="A204" s="405" t="s">
        <v>355</v>
      </c>
      <c r="B204" s="406"/>
      <c r="C204" s="406"/>
      <c r="D204" s="406"/>
      <c r="E204" s="407"/>
      <c r="F204" s="408">
        <f>ROUND(F203*(1+'PB IX.A - BDI'!I23),2)</f>
        <v>214197.3</v>
      </c>
      <c r="G204" s="409"/>
      <c r="H204" s="379">
        <f>F204*10/100</f>
        <v>21419.73</v>
      </c>
      <c r="I204" s="390"/>
      <c r="J204" s="390"/>
    </row>
    <row r="205" spans="1:10" ht="15.95" customHeight="1">
      <c r="A205" s="374"/>
      <c r="B205" s="375"/>
      <c r="C205" s="376"/>
      <c r="D205" s="375"/>
      <c r="E205" s="375"/>
      <c r="F205" s="375"/>
      <c r="G205" s="375"/>
      <c r="H205" s="379"/>
      <c r="I205" s="390"/>
      <c r="J205" s="390"/>
    </row>
    <row r="206" spans="1:10" ht="15.95" customHeight="1">
      <c r="A206" s="319"/>
      <c r="B206" s="315">
        <v>18</v>
      </c>
      <c r="C206" s="320" t="s">
        <v>356</v>
      </c>
      <c r="D206" s="321"/>
      <c r="E206" s="342"/>
      <c r="F206" s="342"/>
      <c r="G206" s="323">
        <f>G207</f>
        <v>62537</v>
      </c>
      <c r="I206" s="390"/>
      <c r="J206" s="390"/>
    </row>
    <row r="207" spans="1:10" ht="56.25">
      <c r="A207" s="324" t="str">
        <f>'PB VII - Cotações'!A76</f>
        <v>COTAÇÃO 017</v>
      </c>
      <c r="B207" s="336" t="s">
        <v>357</v>
      </c>
      <c r="C207" s="331" t="s">
        <v>358</v>
      </c>
      <c r="D207" s="327" t="s">
        <v>28</v>
      </c>
      <c r="E207" s="329">
        <v>1</v>
      </c>
      <c r="F207" s="329">
        <f>'PB VII - Cotações'!F78</f>
        <v>62537</v>
      </c>
      <c r="G207" s="380">
        <f>ROUND(E207*F207,2)</f>
        <v>62537</v>
      </c>
      <c r="H207" s="379">
        <f>F203+G207</f>
        <v>232211.67</v>
      </c>
      <c r="I207" s="390"/>
      <c r="J207" s="390"/>
    </row>
    <row r="208" spans="1:10" ht="15.95" customHeight="1">
      <c r="A208" s="405" t="s">
        <v>354</v>
      </c>
      <c r="B208" s="406"/>
      <c r="C208" s="406"/>
      <c r="D208" s="406"/>
      <c r="E208" s="407"/>
      <c r="F208" s="408">
        <f>ROUND(SUM(G207),2)</f>
        <v>62537</v>
      </c>
      <c r="G208" s="409"/>
      <c r="I208" s="390">
        <v>292403.68</v>
      </c>
      <c r="J208" s="390"/>
    </row>
    <row r="209" spans="1:10" ht="15.95" customHeight="1">
      <c r="A209" s="405" t="s">
        <v>359</v>
      </c>
      <c r="B209" s="406"/>
      <c r="C209" s="406"/>
      <c r="D209" s="406"/>
      <c r="E209" s="407"/>
      <c r="F209" s="408">
        <f>ROUND(F208*(1+'PB IX.B - BDI Diferenciado'!I22),2)</f>
        <v>72092.649999999994</v>
      </c>
      <c r="G209" s="409"/>
      <c r="I209" s="393">
        <f>I208-F211</f>
        <v>6113.7299999999796</v>
      </c>
      <c r="J209" s="390"/>
    </row>
    <row r="210" spans="1:10" ht="15.95" customHeight="1">
      <c r="A210" s="381"/>
      <c r="B210" s="382"/>
      <c r="C210" s="383"/>
      <c r="D210" s="382"/>
      <c r="E210" s="382"/>
      <c r="F210" s="382"/>
      <c r="G210" s="382"/>
      <c r="I210" s="390"/>
      <c r="J210" s="390"/>
    </row>
    <row r="211" spans="1:10" ht="15.95" customHeight="1">
      <c r="A211" s="405" t="s">
        <v>354</v>
      </c>
      <c r="B211" s="406"/>
      <c r="C211" s="406"/>
      <c r="D211" s="406"/>
      <c r="E211" s="407"/>
      <c r="F211" s="408">
        <f>ROUND(SUM(F209+F204),2)</f>
        <v>286289.95</v>
      </c>
      <c r="G211" s="409"/>
      <c r="I211" s="390"/>
      <c r="J211" s="390"/>
    </row>
    <row r="212" spans="1:10" ht="34.5" customHeight="1">
      <c r="A212" s="410" t="s">
        <v>360</v>
      </c>
      <c r="B212" s="411"/>
      <c r="C212" s="411"/>
      <c r="D212" s="411"/>
      <c r="E212" s="411"/>
      <c r="F212" s="411"/>
      <c r="G212" s="412"/>
    </row>
    <row r="213" spans="1:10" ht="15">
      <c r="A213" s="384"/>
      <c r="B213" s="385"/>
      <c r="C213" s="385"/>
      <c r="D213" s="385"/>
      <c r="E213" s="385"/>
      <c r="F213" s="385"/>
      <c r="G213" s="385"/>
    </row>
    <row r="214" spans="1:10" ht="15.95" customHeight="1">
      <c r="A214" s="413"/>
      <c r="B214" s="414"/>
      <c r="C214" s="414"/>
      <c r="D214" s="414"/>
      <c r="E214" s="414"/>
      <c r="F214" s="414"/>
      <c r="G214" s="414"/>
    </row>
    <row r="215" spans="1:10" ht="11.25" customHeight="1">
      <c r="A215" s="386"/>
      <c r="B215" s="387"/>
      <c r="C215" s="387"/>
      <c r="D215" s="387"/>
      <c r="E215" s="387"/>
      <c r="F215" s="387"/>
      <c r="G215" s="387"/>
    </row>
    <row r="216" spans="1:10" ht="15.95" customHeight="1">
      <c r="C216" s="388"/>
      <c r="F216" s="99"/>
      <c r="G216" s="99"/>
    </row>
    <row r="217" spans="1:10" ht="15.95" customHeight="1">
      <c r="C217" s="389"/>
    </row>
    <row r="218" spans="1:10" ht="15.95" customHeight="1">
      <c r="C218" s="388"/>
    </row>
    <row r="219" spans="1:10" ht="15.95" customHeight="1">
      <c r="C219" s="388"/>
    </row>
  </sheetData>
  <mergeCells count="17">
    <mergeCell ref="A214:G214"/>
    <mergeCell ref="A209:E209"/>
    <mergeCell ref="F209:G209"/>
    <mergeCell ref="A211:E211"/>
    <mergeCell ref="F211:G211"/>
    <mergeCell ref="A212:G212"/>
    <mergeCell ref="A203:E203"/>
    <mergeCell ref="F203:G203"/>
    <mergeCell ref="A204:E204"/>
    <mergeCell ref="F204:G204"/>
    <mergeCell ref="A208:E208"/>
    <mergeCell ref="F208:G208"/>
    <mergeCell ref="A2:G2"/>
    <mergeCell ref="A4:G4"/>
    <mergeCell ref="A6:G6"/>
    <mergeCell ref="A8:C8"/>
    <mergeCell ref="D8:G8"/>
  </mergeCells>
  <printOptions horizontalCentered="1"/>
  <pageMargins left="0.39305555555555599" right="0" top="1.5743055555555601" bottom="0.39305555555555599" header="0" footer="0"/>
  <pageSetup paperSize="9" scale="75" orientation="portrait" r:id="rId1"/>
  <headerFooter>
    <oddHeader>&amp;C&amp;9
&amp;15&amp;G&amp;12
DEFENSORIA PÚBLICA DO ESTADO DE RORAIMA
&amp;"Garamond,Itálico"“Amazônia: Patrimônio dos brasileiros”&amp;"-,Regular"&amp;9
____________________________________________________________________________________________________</oddHeader>
    <oddFooter>&amp;CPágina &amp;P de &amp;N</oddFooter>
  </headerFooter>
  <rowBreaks count="5" manualBreakCount="5">
    <brk id="55" max="6" man="1"/>
    <brk id="94" max="6" man="1"/>
    <brk id="132" max="6" man="1"/>
    <brk id="166" max="6" man="1"/>
    <brk id="204" max="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J76"/>
  <sheetViews>
    <sheetView view="pageBreakPreview" topLeftCell="A58" zoomScale="115" zoomScaleSheetLayoutView="115" workbookViewId="0">
      <selection activeCell="C29" sqref="C29"/>
    </sheetView>
  </sheetViews>
  <sheetFormatPr defaultColWidth="9.140625" defaultRowHeight="15"/>
  <cols>
    <col min="1" max="1" width="5.85546875" style="264" customWidth="1"/>
    <col min="2" max="2" width="23.5703125" style="11" customWidth="1"/>
    <col min="3" max="5" width="9" style="11" customWidth="1"/>
    <col min="6" max="6" width="12.5703125" style="11" customWidth="1"/>
    <col min="7" max="7" width="9.42578125" style="265" customWidth="1"/>
  </cols>
  <sheetData>
    <row r="1" spans="1:7" ht="15" customHeight="1">
      <c r="A1" s="415" t="s">
        <v>361</v>
      </c>
      <c r="B1" s="416"/>
      <c r="C1" s="416"/>
      <c r="D1" s="416"/>
      <c r="E1" s="416"/>
      <c r="F1" s="417"/>
      <c r="G1" s="266"/>
    </row>
    <row r="2" spans="1:7" ht="3.6" customHeight="1">
      <c r="A2" s="267"/>
      <c r="B2" s="1"/>
      <c r="C2" s="1"/>
      <c r="D2" s="1"/>
      <c r="E2" s="1"/>
      <c r="F2" s="1"/>
    </row>
    <row r="3" spans="1:7" ht="29.1" customHeight="1">
      <c r="A3" s="418" t="str">
        <f>'PB III - Planilha Orçamentaria'!A4:G4</f>
        <v>OBRA: REFORMA DA SEDE DA DEFENSORIA PÚBLICA DO ESTADO DE RORAIMA NO MUNICIPIO DE SÃO LUIZ DO ANAUA - DPE/RR</v>
      </c>
      <c r="B3" s="397"/>
      <c r="C3" s="397"/>
      <c r="D3" s="397"/>
      <c r="E3" s="397"/>
      <c r="F3" s="398"/>
      <c r="G3" s="268"/>
    </row>
    <row r="4" spans="1:7" ht="3.75" customHeight="1">
      <c r="A4" s="100"/>
      <c r="B4" s="100"/>
      <c r="C4" s="100"/>
      <c r="D4" s="100"/>
      <c r="E4" s="100"/>
      <c r="F4" s="100"/>
      <c r="G4" s="100"/>
    </row>
    <row r="5" spans="1:7" ht="28.5" customHeight="1">
      <c r="A5" s="419" t="str">
        <f>'PB III - Planilha Orçamentaria'!A6:G6</f>
        <v>ENDEREÇO: Av. Joao Rodrigues com Rua Dante de Oliveira, Cidade: São Luiz do Anaua/RR</v>
      </c>
      <c r="B5" s="420"/>
      <c r="C5" s="420"/>
      <c r="D5" s="420"/>
      <c r="E5" s="420"/>
      <c r="F5" s="421"/>
      <c r="G5" s="269"/>
    </row>
    <row r="6" spans="1:7" ht="3" customHeight="1">
      <c r="A6" s="267"/>
      <c r="B6" s="1"/>
      <c r="C6" s="1"/>
      <c r="D6" s="1"/>
      <c r="E6" s="1"/>
      <c r="F6" s="1"/>
    </row>
    <row r="7" spans="1:7" ht="13.5" customHeight="1">
      <c r="A7" s="248" t="s">
        <v>6</v>
      </c>
      <c r="B7" s="270" t="s">
        <v>362</v>
      </c>
      <c r="C7" s="248" t="s">
        <v>363</v>
      </c>
      <c r="D7" s="248" t="s">
        <v>364</v>
      </c>
      <c r="E7" s="248" t="s">
        <v>365</v>
      </c>
      <c r="F7" s="248" t="s">
        <v>366</v>
      </c>
    </row>
    <row r="8" spans="1:7" ht="3.6" customHeight="1">
      <c r="A8" s="271"/>
      <c r="B8" s="272"/>
      <c r="C8" s="272"/>
      <c r="D8" s="272"/>
      <c r="E8" s="272"/>
      <c r="F8" s="272"/>
    </row>
    <row r="9" spans="1:7" ht="11.25" customHeight="1">
      <c r="A9" s="426">
        <v>1</v>
      </c>
      <c r="B9" s="430" t="s">
        <v>12</v>
      </c>
      <c r="C9" s="273">
        <v>1</v>
      </c>
      <c r="D9" s="274"/>
      <c r="E9" s="274"/>
      <c r="F9" s="435">
        <f>'PB III - Planilha Orçamentaria'!G11</f>
        <v>24100.69</v>
      </c>
    </row>
    <row r="10" spans="1:7" ht="11.25" customHeight="1">
      <c r="A10" s="426"/>
      <c r="B10" s="430"/>
      <c r="C10" s="275">
        <f>IF((C9*$F$9=0)," ",ROUND(C9*$F$9,2))</f>
        <v>24100.69</v>
      </c>
      <c r="D10" s="275" t="s">
        <v>367</v>
      </c>
      <c r="E10" s="275" t="str">
        <f>IF((E9*$F$9=0)," ",ROUND(E9*$F$9,2))</f>
        <v/>
      </c>
      <c r="F10" s="436"/>
      <c r="G10" s="276"/>
    </row>
    <row r="11" spans="1:7" ht="8.4499999999999993" customHeight="1">
      <c r="A11" s="426"/>
      <c r="B11" s="430"/>
      <c r="C11" s="277"/>
      <c r="D11" s="278"/>
      <c r="E11" s="278"/>
      <c r="F11" s="437"/>
    </row>
    <row r="12" spans="1:7" ht="11.25" customHeight="1">
      <c r="A12" s="426">
        <v>2</v>
      </c>
      <c r="B12" s="430" t="s">
        <v>40</v>
      </c>
      <c r="C12" s="273">
        <v>0.8</v>
      </c>
      <c r="D12" s="273">
        <v>0.2</v>
      </c>
      <c r="E12" s="273"/>
      <c r="F12" s="438">
        <f>'PB III - Planilha Orçamentaria'!G25</f>
        <v>5586.8</v>
      </c>
    </row>
    <row r="13" spans="1:7" ht="11.25" customHeight="1">
      <c r="A13" s="426"/>
      <c r="B13" s="430"/>
      <c r="C13" s="275">
        <f>IF((C12*$F$12=0)," ",ROUND(C12*$F$12,2))</f>
        <v>4469.4399999999996</v>
      </c>
      <c r="D13" s="275">
        <f>IF((D12*$F$12=0)," ",ROUND(D12*$F$12,2))</f>
        <v>1117.3599999999999</v>
      </c>
      <c r="E13" s="275" t="str">
        <f>IF((E12*$F$12=0)," ",ROUND(E12*$F$12,2))</f>
        <v/>
      </c>
      <c r="F13" s="439"/>
      <c r="G13" s="276"/>
    </row>
    <row r="14" spans="1:7" ht="8.4499999999999993" customHeight="1">
      <c r="A14" s="426"/>
      <c r="B14" s="430"/>
      <c r="C14" s="277"/>
      <c r="D14" s="277"/>
      <c r="E14" s="279"/>
      <c r="F14" s="440"/>
    </row>
    <row r="15" spans="1:7" ht="11.25" customHeight="1">
      <c r="A15" s="426">
        <v>3</v>
      </c>
      <c r="B15" s="430" t="s">
        <v>63</v>
      </c>
      <c r="C15" s="273">
        <v>0.2</v>
      </c>
      <c r="D15" s="280">
        <v>0.6</v>
      </c>
      <c r="E15" s="281">
        <v>0.2</v>
      </c>
      <c r="F15" s="438">
        <f>'PB III - Planilha Orçamentaria'!G37</f>
        <v>4388.76</v>
      </c>
    </row>
    <row r="16" spans="1:7" ht="11.25" customHeight="1">
      <c r="A16" s="426"/>
      <c r="B16" s="430"/>
      <c r="C16" s="275">
        <f>IF((C15*$F$15=0)," ",ROUND(C15*$F$15,2))</f>
        <v>877.75</v>
      </c>
      <c r="D16" s="275">
        <f>IF((D15*$F$15=0)," ",ROUND(D15*$F$15,2))</f>
        <v>2633.26</v>
      </c>
      <c r="E16" s="275">
        <f>IF((E15*$F$15=0)," ",ROUND(E15*$F$15,2))</f>
        <v>877.75</v>
      </c>
      <c r="F16" s="439"/>
      <c r="G16" s="276"/>
    </row>
    <row r="17" spans="1:8" ht="8.4499999999999993" customHeight="1">
      <c r="A17" s="426"/>
      <c r="B17" s="430"/>
      <c r="C17" s="282"/>
      <c r="D17" s="282"/>
      <c r="E17" s="282"/>
      <c r="F17" s="440"/>
    </row>
    <row r="18" spans="1:8" ht="11.25" customHeight="1">
      <c r="A18" s="426">
        <v>4</v>
      </c>
      <c r="B18" s="430" t="s">
        <v>68</v>
      </c>
      <c r="C18" s="273"/>
      <c r="D18" s="280">
        <v>0.7</v>
      </c>
      <c r="E18" s="280">
        <v>0.3</v>
      </c>
      <c r="F18" s="438">
        <f>'PB III - Planilha Orçamentaria'!G41</f>
        <v>1108.3699999999999</v>
      </c>
    </row>
    <row r="19" spans="1:8" ht="11.25" customHeight="1">
      <c r="A19" s="426"/>
      <c r="B19" s="430"/>
      <c r="C19" s="275" t="str">
        <f>IF((C18*$F$18=0)," ",ROUND(C18*$F$18,2))</f>
        <v/>
      </c>
      <c r="D19" s="275">
        <f>IF((D18*$F$18=0)," ",ROUND(D18*$F$18,2))</f>
        <v>775.86</v>
      </c>
      <c r="E19" s="275">
        <f>IF((E18*$F$18=0)," ",ROUND(E18*$F$18,2))</f>
        <v>332.51</v>
      </c>
      <c r="F19" s="439"/>
      <c r="G19" s="276"/>
    </row>
    <row r="20" spans="1:8" ht="8.4499999999999993" customHeight="1">
      <c r="A20" s="426"/>
      <c r="B20" s="430"/>
      <c r="C20" s="283"/>
      <c r="D20" s="282"/>
      <c r="E20" s="282"/>
      <c r="F20" s="440"/>
    </row>
    <row r="21" spans="1:8" ht="11.25" customHeight="1">
      <c r="A21" s="426">
        <v>5</v>
      </c>
      <c r="B21" s="430" t="s">
        <v>78</v>
      </c>
      <c r="C21" s="273"/>
      <c r="D21" s="280">
        <v>0.3</v>
      </c>
      <c r="E21" s="280">
        <v>0.7</v>
      </c>
      <c r="F21" s="438">
        <f>'PB III - Planilha Orçamentaria'!G47</f>
        <v>17737.78</v>
      </c>
    </row>
    <row r="22" spans="1:8" ht="11.25" customHeight="1">
      <c r="A22" s="426"/>
      <c r="B22" s="430"/>
      <c r="C22" s="275" t="str">
        <f>IF((C21*$F$21=0)," ",ROUND(C21*$F$21,2))</f>
        <v/>
      </c>
      <c r="D22" s="275">
        <f>IF((D21*$F$21=0)," ",ROUND(D21*$F$21,2))</f>
        <v>5321.33</v>
      </c>
      <c r="E22" s="275">
        <f>IF((E21*$F$21=0)," ",ROUND(E21*$F$21,2))</f>
        <v>12416.45</v>
      </c>
      <c r="F22" s="439"/>
      <c r="G22" s="276"/>
    </row>
    <row r="23" spans="1:8" ht="8.4499999999999993" customHeight="1">
      <c r="A23" s="426"/>
      <c r="B23" s="430"/>
      <c r="C23" s="283"/>
      <c r="D23" s="282"/>
      <c r="E23" s="282"/>
      <c r="F23" s="440"/>
    </row>
    <row r="24" spans="1:8" ht="11.25" customHeight="1">
      <c r="A24" s="426">
        <v>6</v>
      </c>
      <c r="B24" s="430" t="s">
        <v>100</v>
      </c>
      <c r="C24" s="273"/>
      <c r="D24" s="280"/>
      <c r="E24" s="280">
        <v>1</v>
      </c>
      <c r="F24" s="438">
        <f>'PB III - Planilha Orçamentaria'!G58</f>
        <v>15118.68</v>
      </c>
    </row>
    <row r="25" spans="1:8" ht="11.25" customHeight="1">
      <c r="A25" s="426"/>
      <c r="B25" s="430"/>
      <c r="C25" s="275" t="str">
        <f>IF((C24*$F$24=0)," ",ROUND(C24*$F$24,2))</f>
        <v/>
      </c>
      <c r="D25" s="275" t="str">
        <f>IF((D24*$F$24=0)," ",ROUND(D24*$F$24,2))</f>
        <v/>
      </c>
      <c r="E25" s="275">
        <v>15118.68</v>
      </c>
      <c r="F25" s="439"/>
      <c r="G25" s="276"/>
    </row>
    <row r="26" spans="1:8" ht="8.4499999999999993" customHeight="1">
      <c r="A26" s="426"/>
      <c r="B26" s="430"/>
      <c r="C26" s="283"/>
      <c r="D26" s="284"/>
      <c r="E26" s="282"/>
      <c r="F26" s="440"/>
    </row>
    <row r="27" spans="1:8" ht="11.25" customHeight="1">
      <c r="A27" s="427">
        <v>7</v>
      </c>
      <c r="B27" s="431" t="s">
        <v>103</v>
      </c>
      <c r="C27" s="273"/>
      <c r="D27" s="280"/>
      <c r="E27" s="280">
        <v>1</v>
      </c>
      <c r="F27" s="438">
        <f>'PB III - Planilha Orçamentaria'!G61</f>
        <v>6914.66</v>
      </c>
    </row>
    <row r="28" spans="1:8" ht="11.25" customHeight="1">
      <c r="A28" s="428"/>
      <c r="B28" s="432"/>
      <c r="C28" s="275" t="str">
        <f>IF((C27*$F$27=0)," ",ROUND(C27*$F$27,2))</f>
        <v/>
      </c>
      <c r="D28" s="275" t="str">
        <f>IF((D27*$F$27=0)," ",ROUND(D27*$F$27,2))</f>
        <v/>
      </c>
      <c r="E28" s="275">
        <v>6914.66</v>
      </c>
      <c r="F28" s="439"/>
      <c r="G28" s="276"/>
    </row>
    <row r="29" spans="1:8" ht="8.4499999999999993" customHeight="1">
      <c r="A29" s="429"/>
      <c r="B29" s="433"/>
      <c r="C29" s="284"/>
      <c r="D29" s="284"/>
      <c r="E29" s="282"/>
      <c r="F29" s="440"/>
      <c r="H29" s="285"/>
    </row>
    <row r="30" spans="1:8" ht="11.25" customHeight="1">
      <c r="A30" s="427">
        <v>8</v>
      </c>
      <c r="B30" s="431" t="s">
        <v>126</v>
      </c>
      <c r="C30" s="273">
        <v>0.2</v>
      </c>
      <c r="D30" s="280">
        <v>0.6</v>
      </c>
      <c r="E30" s="280">
        <v>0.2</v>
      </c>
      <c r="F30" s="438">
        <f>'PB III - Planilha Orçamentaria'!G74</f>
        <v>100.03</v>
      </c>
    </row>
    <row r="31" spans="1:8" ht="11.25" customHeight="1">
      <c r="A31" s="428"/>
      <c r="B31" s="432"/>
      <c r="C31" s="275">
        <f>IF((C30*$F$30=0)," ",ROUND(C30*$F$30,2))</f>
        <v>20.010000000000002</v>
      </c>
      <c r="D31" s="275">
        <f>IF((D30*$F$30=0)," ",ROUND(D30*$F$30,2))</f>
        <v>60.02</v>
      </c>
      <c r="E31" s="275">
        <f>IF((E30*$F$30=0)," ",ROUND(E30*$F$30,2))-0.01</f>
        <v>20</v>
      </c>
      <c r="F31" s="439"/>
      <c r="G31" s="276"/>
    </row>
    <row r="32" spans="1:8" ht="8.4499999999999993" customHeight="1">
      <c r="A32" s="429"/>
      <c r="B32" s="433"/>
      <c r="C32" s="282"/>
      <c r="D32" s="282"/>
      <c r="E32" s="282"/>
      <c r="F32" s="440"/>
    </row>
    <row r="33" spans="1:10" ht="11.25" customHeight="1">
      <c r="A33" s="427">
        <v>9</v>
      </c>
      <c r="B33" s="431" t="s">
        <v>132</v>
      </c>
      <c r="C33" s="273">
        <v>0.2</v>
      </c>
      <c r="D33" s="280">
        <v>0.6</v>
      </c>
      <c r="E33" s="280">
        <v>0.2</v>
      </c>
      <c r="F33" s="438">
        <f>'PB III - Planilha Orçamentaria'!G78</f>
        <v>244.47</v>
      </c>
    </row>
    <row r="34" spans="1:10" ht="11.25" customHeight="1">
      <c r="A34" s="428"/>
      <c r="B34" s="432"/>
      <c r="C34" s="275">
        <f>IF((C33*$F$33=0)," ",ROUND(C33*$F$33,2))</f>
        <v>48.89</v>
      </c>
      <c r="D34" s="275">
        <f t="shared" ref="D34" si="0">IF((D33*$F$33=0)," ",ROUND(D33*$F$33,2))</f>
        <v>146.68</v>
      </c>
      <c r="E34" s="275">
        <v>48.9</v>
      </c>
      <c r="F34" s="439"/>
      <c r="G34" s="276"/>
      <c r="H34" s="286"/>
      <c r="I34" s="286"/>
      <c r="J34" s="286"/>
    </row>
    <row r="35" spans="1:10" ht="8.4499999999999993" customHeight="1">
      <c r="A35" s="429"/>
      <c r="B35" s="433"/>
      <c r="C35" s="282"/>
      <c r="D35" s="282"/>
      <c r="E35" s="282"/>
      <c r="F35" s="440"/>
      <c r="H35" s="286"/>
      <c r="I35" s="286"/>
      <c r="J35" s="286"/>
    </row>
    <row r="36" spans="1:10" ht="11.25" customHeight="1">
      <c r="A36" s="426">
        <v>10</v>
      </c>
      <c r="B36" s="424" t="s">
        <v>143</v>
      </c>
      <c r="C36" s="273">
        <v>0.2</v>
      </c>
      <c r="D36" s="280">
        <v>0.6</v>
      </c>
      <c r="E36" s="280">
        <v>0.2</v>
      </c>
      <c r="F36" s="438">
        <f>'PB III - Planilha Orçamentaria'!G86</f>
        <v>7556.01</v>
      </c>
      <c r="H36" s="286"/>
      <c r="I36" s="286"/>
      <c r="J36" s="286"/>
    </row>
    <row r="37" spans="1:10" ht="11.25" customHeight="1">
      <c r="A37" s="426"/>
      <c r="B37" s="424"/>
      <c r="C37" s="275">
        <f>IF((C36*$F$36=0)," ",ROUND(C36*$F$36,2))</f>
        <v>1511.2</v>
      </c>
      <c r="D37" s="275">
        <f>IF((D36*$F$36=0)," ",ROUND(D36*$F$36,2))</f>
        <v>4533.6099999999997</v>
      </c>
      <c r="E37" s="275">
        <f>IF((E36*$F$36=0)," ",ROUND(E36*$F$36,2))</f>
        <v>1511.2</v>
      </c>
      <c r="F37" s="439"/>
      <c r="G37" s="276"/>
      <c r="H37" s="286"/>
      <c r="I37" s="286"/>
      <c r="J37" s="286"/>
    </row>
    <row r="38" spans="1:10" ht="8.4499999999999993" customHeight="1">
      <c r="A38" s="426"/>
      <c r="B38" s="424"/>
      <c r="C38" s="287"/>
      <c r="D38" s="287"/>
      <c r="E38" s="287"/>
      <c r="F38" s="440"/>
      <c r="H38" s="286"/>
      <c r="I38" s="286"/>
      <c r="J38" s="286"/>
    </row>
    <row r="39" spans="1:10" s="263" customFormat="1" ht="10.5" customHeight="1">
      <c r="A39" s="427">
        <v>11</v>
      </c>
      <c r="B39" s="424" t="s">
        <v>162</v>
      </c>
      <c r="C39" s="288">
        <v>0.2</v>
      </c>
      <c r="D39" s="289">
        <v>0.6</v>
      </c>
      <c r="E39" s="289">
        <v>0.2</v>
      </c>
      <c r="F39" s="441">
        <f>'PB III - Planilha Orçamentaria'!G96</f>
        <v>1889.04</v>
      </c>
      <c r="G39" s="290"/>
      <c r="H39" s="291"/>
      <c r="I39" s="291"/>
      <c r="J39" s="291"/>
    </row>
    <row r="40" spans="1:10" s="263" customFormat="1" ht="12" customHeight="1">
      <c r="A40" s="428"/>
      <c r="B40" s="424"/>
      <c r="C40" s="292">
        <f>IF((C39*$F$39=0)," ",ROUND(C39*$F$39,2))</f>
        <v>377.81</v>
      </c>
      <c r="D40" s="292">
        <f>IF((D39*$F$39=0)," ",ROUND(D39*$F$39,2))</f>
        <v>1133.42</v>
      </c>
      <c r="E40" s="292">
        <f>IF((E39*$F$39=0)," ",ROUND(E39*$F$39,2))</f>
        <v>377.81</v>
      </c>
      <c r="F40" s="442"/>
      <c r="G40" s="290"/>
      <c r="H40" s="291"/>
      <c r="I40" s="291"/>
      <c r="J40" s="291"/>
    </row>
    <row r="41" spans="1:10" s="263" customFormat="1" ht="9.75" customHeight="1">
      <c r="A41" s="429"/>
      <c r="B41" s="424"/>
      <c r="C41" s="293"/>
      <c r="D41" s="293"/>
      <c r="E41" s="293"/>
      <c r="F41" s="443"/>
      <c r="G41" s="290"/>
      <c r="H41" s="291"/>
      <c r="I41" s="291"/>
      <c r="J41" s="291"/>
    </row>
    <row r="42" spans="1:10">
      <c r="A42" s="426">
        <v>12</v>
      </c>
      <c r="B42" s="424" t="s">
        <v>179</v>
      </c>
      <c r="C42" s="288">
        <v>0.2</v>
      </c>
      <c r="D42" s="289">
        <v>0.6</v>
      </c>
      <c r="E42" s="289">
        <v>0.2</v>
      </c>
      <c r="F42" s="438">
        <f>'PB III - Planilha Orçamentaria'!G105</f>
        <v>36495.93</v>
      </c>
      <c r="H42" s="286"/>
      <c r="I42" s="286"/>
      <c r="J42" s="286"/>
    </row>
    <row r="43" spans="1:10">
      <c r="A43" s="426"/>
      <c r="B43" s="424"/>
      <c r="C43" s="292">
        <f>IF((C42*$F$42=0)," ",ROUND(C42*$F$42,2))</f>
        <v>7299.19</v>
      </c>
      <c r="D43" s="292">
        <f>IF((D42*$F$42=0)," ",ROUND(D42*$F$42,2))</f>
        <v>21897.56</v>
      </c>
      <c r="E43" s="292">
        <f>IF((E42*$F$42=0)," ",ROUND(E42*$F$42,2))-0.01</f>
        <v>7299.18</v>
      </c>
      <c r="F43" s="439"/>
      <c r="H43" s="286"/>
      <c r="I43" s="286"/>
      <c r="J43" s="286"/>
    </row>
    <row r="44" spans="1:10" ht="9" customHeight="1">
      <c r="A44" s="426"/>
      <c r="B44" s="424"/>
      <c r="C44" s="293"/>
      <c r="D44" s="293"/>
      <c r="E44" s="293"/>
      <c r="F44" s="440"/>
      <c r="H44" s="286"/>
      <c r="I44" s="286"/>
      <c r="J44" s="286"/>
    </row>
    <row r="45" spans="1:10">
      <c r="A45" s="426">
        <v>13</v>
      </c>
      <c r="B45" s="434" t="s">
        <v>278</v>
      </c>
      <c r="C45" s="288">
        <v>0.2</v>
      </c>
      <c r="D45" s="289">
        <v>0.6</v>
      </c>
      <c r="E45" s="289">
        <v>0.2</v>
      </c>
      <c r="F45" s="438">
        <f>'PB III - Planilha Orçamentaria'!G157</f>
        <v>2737.24</v>
      </c>
      <c r="H45" s="286"/>
      <c r="I45" s="286"/>
      <c r="J45" s="286"/>
    </row>
    <row r="46" spans="1:10">
      <c r="A46" s="426"/>
      <c r="B46" s="434"/>
      <c r="C46" s="292">
        <f>IF((C45*$F$45=0)," ",ROUND(C45*$F$45,2))</f>
        <v>547.45000000000005</v>
      </c>
      <c r="D46" s="292">
        <f>IF((D45*$F$45=0)," ",ROUND(D45*$F$45,2))</f>
        <v>1642.34</v>
      </c>
      <c r="E46" s="292">
        <f>IF((E45*$F$45=0)," ",ROUND(E45*$F$45,2))</f>
        <v>547.45000000000005</v>
      </c>
      <c r="F46" s="439"/>
      <c r="H46" s="286"/>
      <c r="I46" s="286"/>
      <c r="J46" s="286"/>
    </row>
    <row r="47" spans="1:10" ht="9" customHeight="1">
      <c r="A47" s="426"/>
      <c r="B47" s="434"/>
      <c r="C47" s="293"/>
      <c r="D47" s="293"/>
      <c r="E47" s="293"/>
      <c r="F47" s="440"/>
      <c r="H47" s="286"/>
      <c r="I47" s="286"/>
      <c r="J47" s="286"/>
    </row>
    <row r="48" spans="1:10">
      <c r="A48" s="426">
        <v>14</v>
      </c>
      <c r="B48" s="424" t="s">
        <v>310</v>
      </c>
      <c r="C48" s="288">
        <v>0.2</v>
      </c>
      <c r="D48" s="289">
        <v>0.6</v>
      </c>
      <c r="E48" s="289">
        <v>0.2</v>
      </c>
      <c r="F48" s="438">
        <f>'PB III - Planilha Orçamentaria'!G176</f>
        <v>1885.84</v>
      </c>
      <c r="H48" s="286"/>
      <c r="I48" s="286"/>
      <c r="J48" s="286"/>
    </row>
    <row r="49" spans="1:10">
      <c r="A49" s="426"/>
      <c r="B49" s="424"/>
      <c r="C49" s="292">
        <f>IF((C48*$F$48=0)," ",ROUND(C48*$F$48,2))</f>
        <v>377.17</v>
      </c>
      <c r="D49" s="292">
        <f>IF((D48*$F$48=0)," ",ROUND(D48*$F$48,2))</f>
        <v>1131.5</v>
      </c>
      <c r="E49" s="292">
        <f>IF((E48*$F$48=0)," ",ROUND(E48*$F$48,2))</f>
        <v>377.17</v>
      </c>
      <c r="F49" s="439"/>
      <c r="H49" s="286"/>
      <c r="I49" s="286"/>
      <c r="J49" s="286"/>
    </row>
    <row r="50" spans="1:10">
      <c r="A50" s="426"/>
      <c r="B50" s="424"/>
      <c r="C50" s="293"/>
      <c r="D50" s="293"/>
      <c r="E50" s="293"/>
      <c r="F50" s="440"/>
      <c r="H50" s="286"/>
      <c r="I50" s="286"/>
      <c r="J50" s="286"/>
    </row>
    <row r="51" spans="1:10">
      <c r="A51" s="426">
        <v>15</v>
      </c>
      <c r="B51" s="424" t="s">
        <v>315</v>
      </c>
      <c r="C51" s="288">
        <v>0.2</v>
      </c>
      <c r="D51" s="289">
        <v>0.6</v>
      </c>
      <c r="E51" s="289">
        <v>0.2</v>
      </c>
      <c r="F51" s="438">
        <f>'PB III - Planilha Orçamentaria'!G180</f>
        <v>7269.69</v>
      </c>
      <c r="H51" s="286"/>
      <c r="I51" s="286"/>
      <c r="J51" s="286"/>
    </row>
    <row r="52" spans="1:10">
      <c r="A52" s="426"/>
      <c r="B52" s="424"/>
      <c r="C52" s="292">
        <f>IF((C51*$F$51=0)," ",ROUND(C51*$F$51,2))</f>
        <v>1453.94</v>
      </c>
      <c r="D52" s="292">
        <f>IF((D51*$F$51=0)," ",ROUND(D51*$F$51,2))</f>
        <v>4361.8100000000004</v>
      </c>
      <c r="E52" s="292">
        <f>IF((E51*$F$51=0)," ",ROUND(E51*$F$51,2))</f>
        <v>1453.94</v>
      </c>
      <c r="F52" s="439"/>
      <c r="H52" s="286"/>
      <c r="I52" s="286"/>
      <c r="J52" s="286"/>
    </row>
    <row r="53" spans="1:10">
      <c r="A53" s="426"/>
      <c r="B53" s="424"/>
      <c r="C53" s="293"/>
      <c r="D53" s="293"/>
      <c r="E53" s="293"/>
      <c r="F53" s="440"/>
      <c r="H53" s="286"/>
      <c r="I53" s="286"/>
      <c r="J53" s="286"/>
    </row>
    <row r="54" spans="1:10">
      <c r="A54" s="426">
        <v>16</v>
      </c>
      <c r="B54" s="424" t="s">
        <v>368</v>
      </c>
      <c r="C54" s="288">
        <v>0.3</v>
      </c>
      <c r="D54" s="289">
        <v>0.3</v>
      </c>
      <c r="E54" s="289">
        <v>0.4</v>
      </c>
      <c r="F54" s="438">
        <f>'PB III - Planilha Orçamentaria'!G191</f>
        <v>1386.07</v>
      </c>
      <c r="H54" s="286"/>
      <c r="I54" s="286"/>
      <c r="J54" s="286"/>
    </row>
    <row r="55" spans="1:10">
      <c r="A55" s="426"/>
      <c r="B55" s="424"/>
      <c r="C55" s="292">
        <f>IF((C54*$F$54=0)," ",ROUND(C54*$F$54,2))</f>
        <v>415.82</v>
      </c>
      <c r="D55" s="292">
        <f>IF((D54*$F$54=0)," ",ROUND(D54*$F$54,2))</f>
        <v>415.82</v>
      </c>
      <c r="E55" s="292">
        <f>IF((E54*$F$54=0)," ",ROUND(E54*$F$54,2))</f>
        <v>554.42999999999995</v>
      </c>
      <c r="F55" s="439"/>
      <c r="H55" s="286"/>
      <c r="I55" s="286"/>
      <c r="J55" s="286"/>
    </row>
    <row r="56" spans="1:10" ht="13.5" customHeight="1">
      <c r="A56" s="426"/>
      <c r="B56" s="424"/>
      <c r="C56" s="293"/>
      <c r="D56" s="293"/>
      <c r="E56" s="293"/>
      <c r="F56" s="440"/>
      <c r="H56" s="286"/>
      <c r="I56" s="286"/>
      <c r="J56" s="286"/>
    </row>
    <row r="57" spans="1:10">
      <c r="A57" s="426">
        <v>18</v>
      </c>
      <c r="B57" s="434" t="s">
        <v>369</v>
      </c>
      <c r="C57" s="288"/>
      <c r="D57" s="289"/>
      <c r="E57" s="289">
        <v>1</v>
      </c>
      <c r="F57" s="438">
        <f>'PB III - Planilha Orçamentaria'!G207</f>
        <v>62537</v>
      </c>
    </row>
    <row r="58" spans="1:10">
      <c r="A58" s="426"/>
      <c r="B58" s="434"/>
      <c r="C58" s="292"/>
      <c r="D58" s="292"/>
      <c r="E58" s="292">
        <f>IF((E57*$F$57=0)," ",ROUND(E57*$F$57,2))</f>
        <v>62537</v>
      </c>
      <c r="F58" s="439"/>
    </row>
    <row r="59" spans="1:10">
      <c r="A59" s="426"/>
      <c r="B59" s="434"/>
      <c r="C59" s="292"/>
      <c r="D59" s="292"/>
      <c r="E59" s="293"/>
      <c r="F59" s="440"/>
    </row>
    <row r="60" spans="1:10">
      <c r="A60" s="426">
        <v>17</v>
      </c>
      <c r="B60" s="434" t="s">
        <v>349</v>
      </c>
      <c r="C60" s="288">
        <v>0.210595651838102</v>
      </c>
      <c r="D60" s="289">
        <v>0.22922583945990099</v>
      </c>
      <c r="E60" s="289">
        <v>0.56017855944871997</v>
      </c>
      <c r="F60" s="438">
        <f>'PB III - Planilha Orçamentaria'!G199</f>
        <v>35154.61</v>
      </c>
      <c r="H60" s="286"/>
      <c r="I60" s="286"/>
      <c r="J60" s="286"/>
    </row>
    <row r="61" spans="1:10">
      <c r="A61" s="426"/>
      <c r="B61" s="434"/>
      <c r="C61" s="292">
        <f>IF((C60*$F$60=0)," ",ROUND(C60*$F$60,2))</f>
        <v>7403.41</v>
      </c>
      <c r="D61" s="292">
        <f>IF((D60*$F$60=0)," ",ROUND(D60*$F$60,2))</f>
        <v>8058.34</v>
      </c>
      <c r="E61" s="292">
        <f>IF((E60*$F$60=0)," ",ROUND(E60*$F$60,2))</f>
        <v>19692.86</v>
      </c>
      <c r="F61" s="439"/>
      <c r="H61" s="286"/>
      <c r="I61" s="286"/>
      <c r="J61" s="286"/>
    </row>
    <row r="62" spans="1:10">
      <c r="A62" s="426"/>
      <c r="B62" s="434"/>
      <c r="C62" s="293"/>
      <c r="D62" s="293"/>
      <c r="E62" s="293"/>
      <c r="F62" s="440"/>
      <c r="H62" s="286"/>
      <c r="I62" s="286"/>
      <c r="J62" s="286"/>
    </row>
    <row r="63" spans="1:10" ht="11.25" customHeight="1">
      <c r="A63" s="422" t="s">
        <v>370</v>
      </c>
      <c r="B63" s="422"/>
      <c r="C63" s="294">
        <f>SUM(C10,C13,C16,C19,C22,C25,C28,C31,C34,C37,C40,C43,C46,C49,C52,C55,C58,C61)/$F$63</f>
        <v>0.210595660416206</v>
      </c>
      <c r="D63" s="294">
        <f t="shared" ref="D63:E63" si="1">SUM(D10,D13,D16,D19,D22,D25,D28,D31,D34,D37,D40,D43,D46,D49,D52,D55,D58,D61)/$F$63</f>
        <v>0.229225817978916</v>
      </c>
      <c r="E63" s="294">
        <f t="shared" si="1"/>
        <v>0.56017852160487902</v>
      </c>
      <c r="F63" s="438">
        <f>SUM(F9:F62)</f>
        <v>232211.67</v>
      </c>
      <c r="H63" s="286"/>
      <c r="I63" s="286"/>
      <c r="J63" s="286"/>
    </row>
    <row r="64" spans="1:10" ht="11.25" customHeight="1">
      <c r="A64" s="422" t="s">
        <v>371</v>
      </c>
      <c r="B64" s="422"/>
      <c r="C64" s="294">
        <f>C63</f>
        <v>0.210595660416206</v>
      </c>
      <c r="D64" s="294">
        <f>D63+C64</f>
        <v>0.43982147839512098</v>
      </c>
      <c r="E64" s="294">
        <f>E63+D64</f>
        <v>1</v>
      </c>
      <c r="F64" s="439"/>
      <c r="H64" s="286"/>
      <c r="I64" s="295"/>
      <c r="J64" s="286"/>
    </row>
    <row r="65" spans="1:10" ht="11.25" customHeight="1">
      <c r="A65" s="422" t="s">
        <v>372</v>
      </c>
      <c r="B65" s="422"/>
      <c r="C65" s="296">
        <f>ROUND(C63*$F$63,2)</f>
        <v>48902.77</v>
      </c>
      <c r="D65" s="296">
        <f>ROUND(D63*$F$63,2)</f>
        <v>53228.91</v>
      </c>
      <c r="E65" s="296">
        <f>ROUND(E63*$F$63,2)</f>
        <v>130079.99</v>
      </c>
      <c r="F65" s="439"/>
      <c r="H65" s="286"/>
      <c r="I65" s="286"/>
      <c r="J65" s="286"/>
    </row>
    <row r="66" spans="1:10" ht="11.25" customHeight="1">
      <c r="A66" s="422" t="s">
        <v>373</v>
      </c>
      <c r="B66" s="422"/>
      <c r="C66" s="296">
        <f>C65</f>
        <v>48902.77</v>
      </c>
      <c r="D66" s="296">
        <f>C66+D65</f>
        <v>102131.68</v>
      </c>
      <c r="E66" s="296">
        <f>D66+E65</f>
        <v>232211.67</v>
      </c>
      <c r="F66" s="440"/>
      <c r="H66" s="286"/>
      <c r="I66" s="303"/>
      <c r="J66" s="286"/>
    </row>
    <row r="67" spans="1:10">
      <c r="A67" s="423"/>
      <c r="B67" s="423"/>
      <c r="C67" s="423"/>
      <c r="D67" s="423"/>
      <c r="E67" s="423"/>
      <c r="F67" s="423"/>
    </row>
    <row r="68" spans="1:10">
      <c r="A68" s="424" t="s">
        <v>374</v>
      </c>
      <c r="B68" s="424"/>
      <c r="C68" s="424"/>
      <c r="D68" s="424"/>
      <c r="E68" s="424"/>
      <c r="F68" s="424"/>
    </row>
    <row r="69" spans="1:10">
      <c r="A69" s="425"/>
      <c r="B69" s="425"/>
      <c r="C69" s="425"/>
      <c r="D69" s="425"/>
      <c r="E69" s="425"/>
      <c r="F69" s="425"/>
    </row>
    <row r="72" spans="1:10">
      <c r="C72" s="297"/>
      <c r="D72" s="297"/>
      <c r="E72" s="297"/>
      <c r="F72" s="298"/>
    </row>
    <row r="73" spans="1:10">
      <c r="B73" s="299"/>
      <c r="C73" s="300"/>
      <c r="D73" s="300"/>
      <c r="E73" s="300"/>
      <c r="F73" s="301"/>
    </row>
    <row r="74" spans="1:10">
      <c r="B74" s="299"/>
      <c r="C74" s="302"/>
      <c r="D74" s="302"/>
      <c r="E74" s="302"/>
      <c r="F74" s="301"/>
    </row>
    <row r="75" spans="1:10">
      <c r="B75" s="299"/>
      <c r="C75" s="300"/>
      <c r="D75" s="300"/>
      <c r="E75" s="300"/>
      <c r="F75" s="301"/>
    </row>
    <row r="76" spans="1:10">
      <c r="B76" s="299"/>
      <c r="C76" s="299"/>
      <c r="D76" s="299"/>
      <c r="E76" s="299"/>
    </row>
  </sheetData>
  <mergeCells count="65">
    <mergeCell ref="F60:F62"/>
    <mergeCell ref="F63:F66"/>
    <mergeCell ref="F45:F47"/>
    <mergeCell ref="F48:F50"/>
    <mergeCell ref="F51:F53"/>
    <mergeCell ref="F54:F56"/>
    <mergeCell ref="F57:F59"/>
    <mergeCell ref="B51:B53"/>
    <mergeCell ref="B54:B56"/>
    <mergeCell ref="B57:B59"/>
    <mergeCell ref="B60:B62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A57:A59"/>
    <mergeCell ref="A60:A62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A42:A44"/>
    <mergeCell ref="A45:A47"/>
    <mergeCell ref="A48:A50"/>
    <mergeCell ref="A51:A53"/>
    <mergeCell ref="A54:A56"/>
    <mergeCell ref="A65:B65"/>
    <mergeCell ref="A66:B66"/>
    <mergeCell ref="A67:F67"/>
    <mergeCell ref="A68:F68"/>
    <mergeCell ref="A69:F69"/>
    <mergeCell ref="A1:F1"/>
    <mergeCell ref="A3:F3"/>
    <mergeCell ref="A5:F5"/>
    <mergeCell ref="A63:B63"/>
    <mergeCell ref="A64:B6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</mergeCells>
  <printOptions horizontalCentered="1"/>
  <pageMargins left="0.196527777777778" right="0.196527777777778" top="1.4166666666666701" bottom="0.39305555555555599" header="0" footer="0"/>
  <pageSetup paperSize="9" scale="99" orientation="portrait" r:id="rId1"/>
  <headerFooter>
    <oddHeader>&amp;C&amp;9
&amp;G
DEFENSORIA PÚBLICA DO ESTADO DE RORAIMA
“Amazônia: Patrimônio dos brasileiros”
____________________________________________________________________________________________________</oddHeader>
    <oddFooter>&amp;C&amp;"Arial,Normal"&amp;9Página &amp;P de &amp;N</oddFooter>
  </headerFooter>
  <rowBreaks count="1" manualBreakCount="1">
    <brk id="59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01"/>
  <sheetViews>
    <sheetView view="pageBreakPreview" topLeftCell="A62" zoomScale="85" zoomScaleSheetLayoutView="85" workbookViewId="0">
      <selection activeCell="L131" sqref="L131"/>
    </sheetView>
  </sheetViews>
  <sheetFormatPr defaultColWidth="9" defaultRowHeight="15"/>
  <cols>
    <col min="1" max="1" width="9.85546875" style="40" customWidth="1"/>
    <col min="2" max="2" width="37.7109375" style="40" customWidth="1"/>
    <col min="3" max="3" width="6" style="240" customWidth="1"/>
    <col min="4" max="4" width="7.7109375" style="240" customWidth="1"/>
    <col min="5" max="6" width="9.5703125" style="240"/>
    <col min="7" max="7" width="7.5703125" style="40" customWidth="1"/>
    <col min="8" max="8" width="9" style="40"/>
    <col min="9" max="9" width="3.42578125" style="40" customWidth="1"/>
    <col min="10" max="15" width="9" style="40"/>
    <col min="16" max="16" width="9.5703125" style="40" customWidth="1"/>
    <col min="17" max="16384" width="9" style="40"/>
  </cols>
  <sheetData>
    <row r="1" spans="1:18" ht="15" customHeight="1"/>
    <row r="2" spans="1:18">
      <c r="A2" s="395" t="s">
        <v>375</v>
      </c>
      <c r="B2" s="395"/>
      <c r="C2" s="395"/>
      <c r="D2" s="395"/>
      <c r="E2" s="395"/>
      <c r="F2" s="395"/>
      <c r="G2" s="395"/>
      <c r="H2" s="395"/>
      <c r="I2" s="395"/>
    </row>
    <row r="3" spans="1:18" ht="15" customHeight="1">
      <c r="A3" s="241"/>
      <c r="B3" s="242"/>
      <c r="C3" s="241"/>
      <c r="D3" s="241"/>
      <c r="E3" s="241"/>
      <c r="F3" s="241"/>
      <c r="G3" s="243"/>
      <c r="H3" s="243"/>
      <c r="I3" s="243"/>
    </row>
    <row r="4" spans="1:18" ht="29.1" customHeight="1">
      <c r="A4" s="418" t="str">
        <f>'PB III - Planilha Orçamentaria'!A4:G4</f>
        <v>OBRA: REFORMA DA SEDE DA DEFENSORIA PÚBLICA DO ESTADO DE RORAIMA NO MUNICIPIO DE SÃO LUIZ DO ANAUA - DPE/RR</v>
      </c>
      <c r="B4" s="397"/>
      <c r="C4" s="444"/>
      <c r="D4" s="444"/>
      <c r="E4" s="444"/>
      <c r="F4" s="444"/>
      <c r="G4" s="397"/>
      <c r="H4" s="397"/>
      <c r="I4" s="398"/>
    </row>
    <row r="5" spans="1:18">
      <c r="A5" s="244"/>
      <c r="B5" s="245"/>
      <c r="C5" s="244"/>
      <c r="D5" s="244"/>
      <c r="E5" s="246"/>
      <c r="F5" s="244"/>
      <c r="G5" s="247"/>
      <c r="H5" s="247"/>
      <c r="I5" s="247"/>
    </row>
    <row r="6" spans="1:18">
      <c r="A6" s="447" t="s">
        <v>6</v>
      </c>
      <c r="B6" s="448" t="s">
        <v>7</v>
      </c>
      <c r="C6" s="450" t="s">
        <v>8</v>
      </c>
      <c r="D6" s="452" t="s">
        <v>9</v>
      </c>
      <c r="E6" s="445" t="s">
        <v>376</v>
      </c>
      <c r="F6" s="446"/>
      <c r="G6" s="454" t="s">
        <v>377</v>
      </c>
      <c r="H6" s="454" t="s">
        <v>378</v>
      </c>
      <c r="I6" s="256"/>
    </row>
    <row r="7" spans="1:18" ht="22.5" customHeight="1">
      <c r="A7" s="447"/>
      <c r="B7" s="449"/>
      <c r="C7" s="451"/>
      <c r="D7" s="453"/>
      <c r="E7" s="249" t="s">
        <v>10</v>
      </c>
      <c r="F7" s="249" t="s">
        <v>11</v>
      </c>
      <c r="G7" s="455"/>
      <c r="H7" s="455"/>
      <c r="I7" s="257"/>
    </row>
    <row r="8" spans="1:18">
      <c r="A8" s="177"/>
      <c r="B8" s="177"/>
      <c r="C8" s="250"/>
      <c r="D8" s="250"/>
      <c r="E8" s="250"/>
      <c r="F8" s="250"/>
      <c r="G8" s="177"/>
      <c r="H8" s="177"/>
      <c r="I8" s="177"/>
    </row>
    <row r="9" spans="1:18" ht="120">
      <c r="A9" s="251" t="s">
        <v>379</v>
      </c>
      <c r="B9" s="251" t="s">
        <v>358</v>
      </c>
      <c r="C9" s="252" t="s">
        <v>28</v>
      </c>
      <c r="D9" s="252">
        <v>1</v>
      </c>
      <c r="E9" s="252">
        <v>62537</v>
      </c>
      <c r="F9" s="252">
        <v>62537</v>
      </c>
      <c r="G9" s="253">
        <f>F9/$P$9</f>
        <v>0.26931031203942901</v>
      </c>
      <c r="H9" s="254">
        <f>G9</f>
        <v>0.26931031203942901</v>
      </c>
      <c r="I9" s="456" t="s">
        <v>380</v>
      </c>
      <c r="P9" s="258">
        <f>SUM(F9:F201)</f>
        <v>232211.68</v>
      </c>
      <c r="R9" s="40">
        <v>232837.07250000001</v>
      </c>
    </row>
    <row r="10" spans="1:18" ht="30">
      <c r="A10" s="251" t="s">
        <v>381</v>
      </c>
      <c r="B10" s="251" t="s">
        <v>353</v>
      </c>
      <c r="C10" s="252" t="s">
        <v>28</v>
      </c>
      <c r="D10" s="252">
        <v>1</v>
      </c>
      <c r="E10" s="252">
        <v>34471.33</v>
      </c>
      <c r="F10" s="252">
        <f t="shared" ref="F10:F73" si="0">ROUND(E10*D10,2)</f>
        <v>34471.33</v>
      </c>
      <c r="G10" s="253">
        <f t="shared" ref="G10:G73" si="1">F10/$P$9</f>
        <v>0.148447873078563</v>
      </c>
      <c r="H10" s="254">
        <f>H9+G10</f>
        <v>0.41775818511799201</v>
      </c>
      <c r="I10" s="457"/>
      <c r="P10" s="40">
        <f t="shared" ref="P10:P73" si="2">$P$9</f>
        <v>232211.68</v>
      </c>
    </row>
    <row r="11" spans="1:18" ht="75">
      <c r="A11" s="251" t="s">
        <v>382</v>
      </c>
      <c r="B11" s="251" t="s">
        <v>102</v>
      </c>
      <c r="C11" s="252" t="s">
        <v>18</v>
      </c>
      <c r="D11" s="252">
        <v>180.07</v>
      </c>
      <c r="E11" s="252">
        <v>83.96</v>
      </c>
      <c r="F11" s="252">
        <f t="shared" si="0"/>
        <v>15118.68</v>
      </c>
      <c r="G11" s="253">
        <f t="shared" si="1"/>
        <v>6.5107319321749901E-2</v>
      </c>
      <c r="H11" s="254">
        <f t="shared" ref="H11:H74" si="3">H10+G11</f>
        <v>0.48286550443974202</v>
      </c>
      <c r="I11" s="457"/>
      <c r="P11" s="40">
        <f t="shared" si="2"/>
        <v>232211.68</v>
      </c>
    </row>
    <row r="12" spans="1:18" ht="30">
      <c r="A12" s="251" t="s">
        <v>383</v>
      </c>
      <c r="B12" s="251" t="s">
        <v>182</v>
      </c>
      <c r="C12" s="252" t="s">
        <v>28</v>
      </c>
      <c r="D12" s="252">
        <v>53</v>
      </c>
      <c r="E12" s="252">
        <v>237.13</v>
      </c>
      <c r="F12" s="252">
        <f t="shared" si="0"/>
        <v>12567.89</v>
      </c>
      <c r="G12" s="253">
        <f t="shared" si="1"/>
        <v>5.4122557487203002E-2</v>
      </c>
      <c r="H12" s="254">
        <f t="shared" si="3"/>
        <v>0.53698806192694504</v>
      </c>
      <c r="I12" s="457"/>
      <c r="P12" s="40">
        <f t="shared" si="2"/>
        <v>232211.68</v>
      </c>
    </row>
    <row r="13" spans="1:18" ht="45">
      <c r="A13" s="251">
        <v>88489</v>
      </c>
      <c r="B13" s="251" t="s">
        <v>91</v>
      </c>
      <c r="C13" s="252" t="s">
        <v>18</v>
      </c>
      <c r="D13" s="252">
        <v>986.35599999999999</v>
      </c>
      <c r="E13" s="252">
        <v>9.68</v>
      </c>
      <c r="F13" s="252">
        <f t="shared" si="0"/>
        <v>9547.93</v>
      </c>
      <c r="G13" s="253">
        <f t="shared" si="1"/>
        <v>4.1117354648138302E-2</v>
      </c>
      <c r="H13" s="254">
        <f t="shared" si="3"/>
        <v>0.57810541657508296</v>
      </c>
      <c r="I13" s="457"/>
      <c r="P13" s="40">
        <f t="shared" si="2"/>
        <v>232211.68</v>
      </c>
    </row>
    <row r="14" spans="1:18">
      <c r="A14" s="251">
        <v>93212</v>
      </c>
      <c r="B14" s="251" t="s">
        <v>20</v>
      </c>
      <c r="C14" s="252" t="s">
        <v>18</v>
      </c>
      <c r="D14" s="252">
        <v>15</v>
      </c>
      <c r="E14" s="252">
        <v>560.17999999999995</v>
      </c>
      <c r="F14" s="252">
        <f t="shared" si="0"/>
        <v>8402.7000000000007</v>
      </c>
      <c r="G14" s="253">
        <f t="shared" si="1"/>
        <v>3.6185518316735797E-2</v>
      </c>
      <c r="H14" s="254">
        <f t="shared" si="3"/>
        <v>0.61429093489181896</v>
      </c>
      <c r="I14" s="457"/>
      <c r="P14" s="40">
        <f t="shared" si="2"/>
        <v>232211.68</v>
      </c>
    </row>
    <row r="15" spans="1:18">
      <c r="A15" s="251" t="s">
        <v>21</v>
      </c>
      <c r="B15" s="251" t="s">
        <v>23</v>
      </c>
      <c r="C15" s="252" t="s">
        <v>18</v>
      </c>
      <c r="D15" s="252">
        <v>12</v>
      </c>
      <c r="E15" s="252">
        <v>569.4</v>
      </c>
      <c r="F15" s="252">
        <f t="shared" si="0"/>
        <v>6832.8</v>
      </c>
      <c r="G15" s="253">
        <f t="shared" si="1"/>
        <v>2.94248764747751E-2</v>
      </c>
      <c r="H15" s="254">
        <f t="shared" si="3"/>
        <v>0.64371581136659395</v>
      </c>
      <c r="I15" s="457"/>
      <c r="P15" s="40">
        <f t="shared" si="2"/>
        <v>232211.68</v>
      </c>
    </row>
    <row r="16" spans="1:18" ht="30">
      <c r="A16" s="251">
        <v>88497</v>
      </c>
      <c r="B16" s="251" t="s">
        <v>86</v>
      </c>
      <c r="C16" s="252" t="s">
        <v>18</v>
      </c>
      <c r="D16" s="252">
        <v>516.17600000000004</v>
      </c>
      <c r="E16" s="252">
        <v>10.32</v>
      </c>
      <c r="F16" s="252">
        <f t="shared" si="0"/>
        <v>5326.94</v>
      </c>
      <c r="G16" s="253">
        <f t="shared" si="1"/>
        <v>2.2940017487492401E-2</v>
      </c>
      <c r="H16" s="254">
        <f t="shared" si="3"/>
        <v>0.66665582885408703</v>
      </c>
      <c r="I16" s="457"/>
      <c r="P16" s="40">
        <f t="shared" si="2"/>
        <v>232211.68</v>
      </c>
    </row>
    <row r="17" spans="1:16">
      <c r="A17" s="251">
        <v>93210</v>
      </c>
      <c r="B17" s="251" t="s">
        <v>25</v>
      </c>
      <c r="C17" s="252" t="s">
        <v>18</v>
      </c>
      <c r="D17" s="252">
        <v>15</v>
      </c>
      <c r="E17" s="252">
        <v>343.54</v>
      </c>
      <c r="F17" s="252">
        <f t="shared" si="0"/>
        <v>5153.1000000000004</v>
      </c>
      <c r="G17" s="253">
        <f t="shared" si="1"/>
        <v>2.2191390200527399E-2</v>
      </c>
      <c r="H17" s="254">
        <f t="shared" si="3"/>
        <v>0.68884721905461399</v>
      </c>
      <c r="I17" s="457"/>
      <c r="P17" s="40">
        <f t="shared" si="2"/>
        <v>232211.68</v>
      </c>
    </row>
    <row r="18" spans="1:16">
      <c r="A18" s="251">
        <v>79627</v>
      </c>
      <c r="B18" s="251" t="s">
        <v>67</v>
      </c>
      <c r="C18" s="252" t="s">
        <v>18</v>
      </c>
      <c r="D18" s="252">
        <v>6.66</v>
      </c>
      <c r="E18" s="252">
        <v>594.92999999999995</v>
      </c>
      <c r="F18" s="252">
        <f t="shared" si="0"/>
        <v>3962.23</v>
      </c>
      <c r="G18" s="253">
        <f t="shared" si="1"/>
        <v>1.7063009061387399E-2</v>
      </c>
      <c r="H18" s="254">
        <f t="shared" si="3"/>
        <v>0.70591022811600102</v>
      </c>
      <c r="I18" s="457"/>
      <c r="P18" s="40">
        <f t="shared" si="2"/>
        <v>232211.68</v>
      </c>
    </row>
    <row r="19" spans="1:16" ht="30">
      <c r="A19" s="251" t="s">
        <v>326</v>
      </c>
      <c r="B19" s="251" t="s">
        <v>328</v>
      </c>
      <c r="C19" s="252" t="s">
        <v>18</v>
      </c>
      <c r="D19" s="252">
        <v>180.05</v>
      </c>
      <c r="E19" s="252">
        <v>18.940000000000001</v>
      </c>
      <c r="F19" s="252">
        <f t="shared" si="0"/>
        <v>3410.15</v>
      </c>
      <c r="G19" s="253">
        <f t="shared" si="1"/>
        <v>1.4685523139921299E-2</v>
      </c>
      <c r="H19" s="254">
        <f t="shared" si="3"/>
        <v>0.72059575125592301</v>
      </c>
      <c r="I19" s="457"/>
      <c r="P19" s="40">
        <f t="shared" si="2"/>
        <v>232211.68</v>
      </c>
    </row>
    <row r="20" spans="1:16">
      <c r="A20" s="251">
        <v>85407</v>
      </c>
      <c r="B20" s="251" t="s">
        <v>54</v>
      </c>
      <c r="C20" s="252" t="s">
        <v>55</v>
      </c>
      <c r="D20" s="252">
        <v>327.60000000000002</v>
      </c>
      <c r="E20" s="252">
        <v>9.91</v>
      </c>
      <c r="F20" s="252">
        <f t="shared" si="0"/>
        <v>3246.52</v>
      </c>
      <c r="G20" s="253">
        <f t="shared" si="1"/>
        <v>1.3980864356177101E-2</v>
      </c>
      <c r="H20" s="254">
        <f t="shared" si="3"/>
        <v>0.73457661561209997</v>
      </c>
      <c r="I20" s="457"/>
      <c r="P20" s="40">
        <f t="shared" si="2"/>
        <v>232211.68</v>
      </c>
    </row>
    <row r="21" spans="1:16" ht="30">
      <c r="A21" s="251" t="s">
        <v>384</v>
      </c>
      <c r="B21" s="251" t="s">
        <v>111</v>
      </c>
      <c r="C21" s="252" t="s">
        <v>28</v>
      </c>
      <c r="D21" s="252">
        <v>1</v>
      </c>
      <c r="E21" s="252">
        <v>3105.89</v>
      </c>
      <c r="F21" s="252">
        <f t="shared" si="0"/>
        <v>3105.89</v>
      </c>
      <c r="G21" s="253">
        <f t="shared" si="1"/>
        <v>1.33752531311086E-2</v>
      </c>
      <c r="H21" s="254">
        <f t="shared" si="3"/>
        <v>0.74795186874320896</v>
      </c>
      <c r="I21" s="457"/>
      <c r="P21" s="40">
        <f t="shared" si="2"/>
        <v>232211.68</v>
      </c>
    </row>
    <row r="22" spans="1:16" ht="45">
      <c r="A22" s="251">
        <v>91926</v>
      </c>
      <c r="B22" s="251" t="s">
        <v>236</v>
      </c>
      <c r="C22" s="252" t="s">
        <v>55</v>
      </c>
      <c r="D22" s="252">
        <v>1063.8</v>
      </c>
      <c r="E22" s="252">
        <v>2.82</v>
      </c>
      <c r="F22" s="252">
        <f t="shared" si="0"/>
        <v>2999.92</v>
      </c>
      <c r="G22" s="253">
        <f t="shared" si="1"/>
        <v>1.2918902270548999E-2</v>
      </c>
      <c r="H22" s="254">
        <f t="shared" si="3"/>
        <v>0.760870771013758</v>
      </c>
      <c r="I22" s="457"/>
      <c r="P22" s="40">
        <f t="shared" si="2"/>
        <v>232211.68</v>
      </c>
    </row>
    <row r="23" spans="1:16">
      <c r="A23" s="251">
        <v>86941</v>
      </c>
      <c r="B23" s="251" t="s">
        <v>151</v>
      </c>
      <c r="C23" s="252" t="s">
        <v>28</v>
      </c>
      <c r="D23" s="252">
        <v>6</v>
      </c>
      <c r="E23" s="252">
        <v>446.73</v>
      </c>
      <c r="F23" s="252">
        <f t="shared" si="0"/>
        <v>2680.38</v>
      </c>
      <c r="G23" s="253">
        <f t="shared" si="1"/>
        <v>1.1542830231450901E-2</v>
      </c>
      <c r="H23" s="254">
        <f t="shared" si="3"/>
        <v>0.77241360124520797</v>
      </c>
      <c r="I23" s="457"/>
      <c r="P23" s="40">
        <f t="shared" si="2"/>
        <v>232211.68</v>
      </c>
    </row>
    <row r="24" spans="1:16" ht="30">
      <c r="A24" s="251" t="s">
        <v>112</v>
      </c>
      <c r="B24" s="251" t="s">
        <v>114</v>
      </c>
      <c r="C24" s="252" t="s">
        <v>18</v>
      </c>
      <c r="D24" s="252">
        <v>3.24</v>
      </c>
      <c r="E24" s="252">
        <v>794.94</v>
      </c>
      <c r="F24" s="252">
        <f t="shared" si="0"/>
        <v>2575.61</v>
      </c>
      <c r="G24" s="253">
        <f t="shared" si="1"/>
        <v>1.1091647069604801E-2</v>
      </c>
      <c r="H24" s="254">
        <f t="shared" si="3"/>
        <v>0.78350524831481305</v>
      </c>
      <c r="I24" s="457"/>
      <c r="P24" s="40">
        <f t="shared" si="2"/>
        <v>232211.68</v>
      </c>
    </row>
    <row r="25" spans="1:16" ht="45">
      <c r="A25" s="251" t="s">
        <v>385</v>
      </c>
      <c r="B25" s="251" t="s">
        <v>386</v>
      </c>
      <c r="C25" s="252" t="s">
        <v>28</v>
      </c>
      <c r="D25" s="252">
        <v>18</v>
      </c>
      <c r="E25" s="252">
        <v>124.46</v>
      </c>
      <c r="F25" s="252">
        <f t="shared" si="0"/>
        <v>2240.2800000000002</v>
      </c>
      <c r="G25" s="253">
        <f t="shared" si="1"/>
        <v>9.6475767282679301E-3</v>
      </c>
      <c r="H25" s="254">
        <f t="shared" si="3"/>
        <v>0.79315282504308104</v>
      </c>
      <c r="I25" s="457"/>
      <c r="P25" s="40">
        <f t="shared" si="2"/>
        <v>232211.68</v>
      </c>
    </row>
    <row r="26" spans="1:16" ht="45">
      <c r="A26" s="251" t="s">
        <v>387</v>
      </c>
      <c r="B26" s="251" t="s">
        <v>312</v>
      </c>
      <c r="C26" s="252" t="s">
        <v>18</v>
      </c>
      <c r="D26" s="252">
        <v>9.75</v>
      </c>
      <c r="E26" s="252">
        <v>193.42</v>
      </c>
      <c r="F26" s="252">
        <f t="shared" si="0"/>
        <v>1885.85</v>
      </c>
      <c r="G26" s="253">
        <f t="shared" si="1"/>
        <v>8.1212538490742607E-3</v>
      </c>
      <c r="H26" s="254">
        <f t="shared" si="3"/>
        <v>0.80127407889215496</v>
      </c>
      <c r="I26" s="458"/>
      <c r="P26" s="40">
        <f t="shared" si="2"/>
        <v>232211.68</v>
      </c>
    </row>
    <row r="27" spans="1:16" ht="30">
      <c r="A27" s="251" t="s">
        <v>144</v>
      </c>
      <c r="B27" s="251" t="s">
        <v>146</v>
      </c>
      <c r="C27" s="252" t="s">
        <v>28</v>
      </c>
      <c r="D27" s="252">
        <v>6</v>
      </c>
      <c r="E27" s="252">
        <v>309.04000000000002</v>
      </c>
      <c r="F27" s="252">
        <f t="shared" si="0"/>
        <v>1854.24</v>
      </c>
      <c r="G27" s="253">
        <f t="shared" si="1"/>
        <v>7.9851280521289897E-3</v>
      </c>
      <c r="H27" s="255">
        <f t="shared" si="3"/>
        <v>0.80925920694428399</v>
      </c>
      <c r="I27" s="459" t="s">
        <v>388</v>
      </c>
      <c r="P27" s="40">
        <f t="shared" si="2"/>
        <v>232211.68</v>
      </c>
    </row>
    <row r="28" spans="1:16" ht="45">
      <c r="A28" s="251">
        <v>90466</v>
      </c>
      <c r="B28" s="251" t="s">
        <v>209</v>
      </c>
      <c r="C28" s="252" t="s">
        <v>55</v>
      </c>
      <c r="D28" s="252">
        <v>172.8</v>
      </c>
      <c r="E28" s="252">
        <v>10.66</v>
      </c>
      <c r="F28" s="252">
        <f t="shared" si="0"/>
        <v>1842.05</v>
      </c>
      <c r="G28" s="253">
        <f t="shared" si="1"/>
        <v>7.9326328460308307E-3</v>
      </c>
      <c r="H28" s="255">
        <f t="shared" si="3"/>
        <v>0.81719183979031496</v>
      </c>
      <c r="I28" s="460"/>
      <c r="P28" s="40">
        <f t="shared" si="2"/>
        <v>232211.68</v>
      </c>
    </row>
    <row r="29" spans="1:16" ht="45">
      <c r="A29" s="251">
        <v>92988</v>
      </c>
      <c r="B29" s="251" t="s">
        <v>244</v>
      </c>
      <c r="C29" s="252" t="s">
        <v>55</v>
      </c>
      <c r="D29" s="252">
        <v>78.099999999999994</v>
      </c>
      <c r="E29" s="252">
        <v>22.8</v>
      </c>
      <c r="F29" s="252">
        <f t="shared" si="0"/>
        <v>1780.68</v>
      </c>
      <c r="G29" s="253">
        <f t="shared" si="1"/>
        <v>7.66834812099029E-3</v>
      </c>
      <c r="H29" s="255">
        <f t="shared" si="3"/>
        <v>0.824860187911305</v>
      </c>
      <c r="I29" s="460"/>
      <c r="P29" s="40">
        <f t="shared" si="2"/>
        <v>232211.68</v>
      </c>
    </row>
    <row r="30" spans="1:16">
      <c r="A30" s="251">
        <v>9537</v>
      </c>
      <c r="B30" s="251" t="s">
        <v>323</v>
      </c>
      <c r="C30" s="252" t="s">
        <v>18</v>
      </c>
      <c r="D30" s="252">
        <v>737.95</v>
      </c>
      <c r="E30" s="252">
        <v>2.21</v>
      </c>
      <c r="F30" s="252">
        <f t="shared" si="0"/>
        <v>1630.87</v>
      </c>
      <c r="G30" s="253">
        <f t="shared" si="1"/>
        <v>7.0232040007634404E-3</v>
      </c>
      <c r="H30" s="255">
        <f t="shared" si="3"/>
        <v>0.83188339191206895</v>
      </c>
      <c r="I30" s="460"/>
      <c r="P30" s="40">
        <f t="shared" si="2"/>
        <v>232211.68</v>
      </c>
    </row>
    <row r="31" spans="1:16" ht="60">
      <c r="A31" s="251" t="s">
        <v>15</v>
      </c>
      <c r="B31" s="251" t="s">
        <v>17</v>
      </c>
      <c r="C31" s="252" t="s">
        <v>18</v>
      </c>
      <c r="D31" s="252">
        <v>5.18</v>
      </c>
      <c r="E31" s="252">
        <v>300.52999999999997</v>
      </c>
      <c r="F31" s="252">
        <f t="shared" si="0"/>
        <v>1556.75</v>
      </c>
      <c r="G31" s="253">
        <f t="shared" si="1"/>
        <v>6.7040124768917696E-3</v>
      </c>
      <c r="H31" s="255">
        <f t="shared" si="3"/>
        <v>0.83858740438896096</v>
      </c>
      <c r="I31" s="460"/>
      <c r="P31" s="40">
        <f t="shared" si="2"/>
        <v>232211.68</v>
      </c>
    </row>
    <row r="32" spans="1:16" ht="30">
      <c r="A32" s="251" t="s">
        <v>389</v>
      </c>
      <c r="B32" s="251" t="s">
        <v>81</v>
      </c>
      <c r="C32" s="252" t="s">
        <v>18</v>
      </c>
      <c r="D32" s="252">
        <v>509.42599999999999</v>
      </c>
      <c r="E32" s="252">
        <v>2.8</v>
      </c>
      <c r="F32" s="252">
        <f t="shared" si="0"/>
        <v>1426.39</v>
      </c>
      <c r="G32" s="253">
        <f t="shared" si="1"/>
        <v>6.1426281399798704E-3</v>
      </c>
      <c r="H32" s="255">
        <f t="shared" si="3"/>
        <v>0.84473003252894097</v>
      </c>
      <c r="I32" s="460"/>
      <c r="P32" s="40">
        <f t="shared" si="2"/>
        <v>232211.68</v>
      </c>
    </row>
    <row r="33" spans="1:16" ht="60">
      <c r="A33" s="251">
        <v>91834</v>
      </c>
      <c r="B33" s="251" t="s">
        <v>213</v>
      </c>
      <c r="C33" s="252" t="s">
        <v>55</v>
      </c>
      <c r="D33" s="252">
        <v>217.7</v>
      </c>
      <c r="E33" s="252">
        <v>6.3</v>
      </c>
      <c r="F33" s="252">
        <f t="shared" si="0"/>
        <v>1371.51</v>
      </c>
      <c r="G33" s="253">
        <f t="shared" si="1"/>
        <v>5.9062920521482801E-3</v>
      </c>
      <c r="H33" s="255">
        <f t="shared" si="3"/>
        <v>0.85063632458108895</v>
      </c>
      <c r="I33" s="460"/>
      <c r="P33" s="40">
        <f t="shared" si="2"/>
        <v>232211.68</v>
      </c>
    </row>
    <row r="34" spans="1:16">
      <c r="A34" s="251">
        <v>41598</v>
      </c>
      <c r="B34" s="251" t="s">
        <v>30</v>
      </c>
      <c r="C34" s="252" t="s">
        <v>28</v>
      </c>
      <c r="D34" s="252">
        <v>1</v>
      </c>
      <c r="E34" s="252">
        <v>1208.9100000000001</v>
      </c>
      <c r="F34" s="252">
        <f t="shared" si="0"/>
        <v>1208.9100000000001</v>
      </c>
      <c r="G34" s="253">
        <f t="shared" si="1"/>
        <v>5.2060688764665099E-3</v>
      </c>
      <c r="H34" s="255">
        <f t="shared" si="3"/>
        <v>0.85584239345755497</v>
      </c>
      <c r="I34" s="460"/>
      <c r="P34" s="40">
        <f t="shared" si="2"/>
        <v>232211.68</v>
      </c>
    </row>
    <row r="35" spans="1:16" ht="60">
      <c r="A35" s="251" t="s">
        <v>390</v>
      </c>
      <c r="B35" s="251" t="s">
        <v>277</v>
      </c>
      <c r="C35" s="252" t="s">
        <v>28</v>
      </c>
      <c r="D35" s="252">
        <v>1</v>
      </c>
      <c r="E35" s="252">
        <v>1165.54</v>
      </c>
      <c r="F35" s="252">
        <f t="shared" si="0"/>
        <v>1165.54</v>
      </c>
      <c r="G35" s="253">
        <f t="shared" si="1"/>
        <v>5.01929963212875E-3</v>
      </c>
      <c r="H35" s="255">
        <f t="shared" si="3"/>
        <v>0.86086169308968397</v>
      </c>
      <c r="I35" s="460"/>
      <c r="P35" s="40">
        <f t="shared" si="2"/>
        <v>232211.68</v>
      </c>
    </row>
    <row r="36" spans="1:16" ht="60">
      <c r="A36" s="251">
        <v>91854</v>
      </c>
      <c r="B36" s="251" t="s">
        <v>211</v>
      </c>
      <c r="C36" s="252" t="s">
        <v>55</v>
      </c>
      <c r="D36" s="252">
        <v>172.8</v>
      </c>
      <c r="E36" s="252">
        <v>6.66</v>
      </c>
      <c r="F36" s="252">
        <f t="shared" si="0"/>
        <v>1150.8499999999999</v>
      </c>
      <c r="G36" s="253">
        <f t="shared" si="1"/>
        <v>4.9560383870440898E-3</v>
      </c>
      <c r="H36" s="255">
        <f t="shared" si="3"/>
        <v>0.86581773147672803</v>
      </c>
      <c r="I36" s="460"/>
      <c r="P36" s="40">
        <f t="shared" si="2"/>
        <v>232211.68</v>
      </c>
    </row>
    <row r="37" spans="1:16" ht="30">
      <c r="A37" s="251">
        <v>85416</v>
      </c>
      <c r="B37" s="251" t="s">
        <v>57</v>
      </c>
      <c r="C37" s="252" t="s">
        <v>28</v>
      </c>
      <c r="D37" s="252">
        <v>78</v>
      </c>
      <c r="E37" s="252">
        <v>13.54</v>
      </c>
      <c r="F37" s="252">
        <f t="shared" si="0"/>
        <v>1056.1199999999999</v>
      </c>
      <c r="G37" s="253">
        <f t="shared" si="1"/>
        <v>4.5480916377677403E-3</v>
      </c>
      <c r="H37" s="255">
        <f t="shared" si="3"/>
        <v>0.87036582311449595</v>
      </c>
      <c r="I37" s="460"/>
      <c r="P37" s="40">
        <f t="shared" si="2"/>
        <v>232211.68</v>
      </c>
    </row>
    <row r="38" spans="1:16" ht="30">
      <c r="A38" s="251">
        <v>83448</v>
      </c>
      <c r="B38" s="251" t="s">
        <v>230</v>
      </c>
      <c r="C38" s="252" t="s">
        <v>28</v>
      </c>
      <c r="D38" s="252">
        <v>4</v>
      </c>
      <c r="E38" s="252">
        <v>236.97</v>
      </c>
      <c r="F38" s="252">
        <f t="shared" si="0"/>
        <v>947.88</v>
      </c>
      <c r="G38" s="253">
        <f t="shared" si="1"/>
        <v>4.0819652138083702E-3</v>
      </c>
      <c r="H38" s="255">
        <f t="shared" si="3"/>
        <v>0.87444778832830405</v>
      </c>
      <c r="I38" s="460"/>
      <c r="P38" s="40">
        <f t="shared" si="2"/>
        <v>232211.68</v>
      </c>
    </row>
    <row r="39" spans="1:16" ht="45">
      <c r="A39" s="251">
        <v>90447</v>
      </c>
      <c r="B39" s="251" t="s">
        <v>207</v>
      </c>
      <c r="C39" s="252" t="s">
        <v>55</v>
      </c>
      <c r="D39" s="252">
        <v>172.8</v>
      </c>
      <c r="E39" s="252">
        <v>5.21</v>
      </c>
      <c r="F39" s="252">
        <f t="shared" si="0"/>
        <v>900.29</v>
      </c>
      <c r="G39" s="253">
        <f t="shared" si="1"/>
        <v>3.87702289566141E-3</v>
      </c>
      <c r="H39" s="255">
        <f t="shared" si="3"/>
        <v>0.878324811223966</v>
      </c>
      <c r="I39" s="460"/>
      <c r="P39" s="40">
        <f t="shared" si="2"/>
        <v>232211.68</v>
      </c>
    </row>
    <row r="40" spans="1:16" ht="45">
      <c r="A40" s="251" t="s">
        <v>174</v>
      </c>
      <c r="B40" s="251" t="s">
        <v>176</v>
      </c>
      <c r="C40" s="252" t="s">
        <v>28</v>
      </c>
      <c r="D40" s="252">
        <v>4</v>
      </c>
      <c r="E40" s="252">
        <v>217.89</v>
      </c>
      <c r="F40" s="252">
        <f t="shared" si="0"/>
        <v>871.56</v>
      </c>
      <c r="G40" s="253">
        <f t="shared" si="1"/>
        <v>3.7532995756285798E-3</v>
      </c>
      <c r="H40" s="255">
        <f t="shared" si="3"/>
        <v>0.88207811079959397</v>
      </c>
      <c r="I40" s="460"/>
      <c r="P40" s="40">
        <f t="shared" si="2"/>
        <v>232211.68</v>
      </c>
    </row>
    <row r="41" spans="1:16" ht="30">
      <c r="A41" s="251" t="s">
        <v>82</v>
      </c>
      <c r="B41" s="251" t="s">
        <v>84</v>
      </c>
      <c r="C41" s="252" t="s">
        <v>18</v>
      </c>
      <c r="D41" s="252">
        <v>516.17600000000004</v>
      </c>
      <c r="E41" s="252">
        <v>1.66</v>
      </c>
      <c r="F41" s="252">
        <f t="shared" si="0"/>
        <v>856.85</v>
      </c>
      <c r="G41" s="253">
        <f t="shared" si="1"/>
        <v>3.68995220223203E-3</v>
      </c>
      <c r="H41" s="255">
        <f t="shared" si="3"/>
        <v>0.88576806300182598</v>
      </c>
      <c r="I41" s="460"/>
      <c r="P41" s="40">
        <f t="shared" si="2"/>
        <v>232211.68</v>
      </c>
    </row>
    <row r="42" spans="1:16" ht="120">
      <c r="A42" s="251" t="s">
        <v>391</v>
      </c>
      <c r="B42" s="251" t="s">
        <v>153</v>
      </c>
      <c r="C42" s="252" t="s">
        <v>28</v>
      </c>
      <c r="D42" s="252">
        <v>1</v>
      </c>
      <c r="E42" s="252">
        <v>813.65</v>
      </c>
      <c r="F42" s="252">
        <f t="shared" si="0"/>
        <v>813.65</v>
      </c>
      <c r="G42" s="253">
        <f t="shared" si="1"/>
        <v>3.5039150485453598E-3</v>
      </c>
      <c r="H42" s="255">
        <f t="shared" si="3"/>
        <v>0.88927197805037195</v>
      </c>
      <c r="I42" s="460"/>
      <c r="P42" s="40">
        <f t="shared" si="2"/>
        <v>232211.68</v>
      </c>
    </row>
    <row r="43" spans="1:16">
      <c r="A43" s="251" t="s">
        <v>147</v>
      </c>
      <c r="B43" s="251" t="s">
        <v>149</v>
      </c>
      <c r="C43" s="252" t="s">
        <v>28</v>
      </c>
      <c r="D43" s="252">
        <v>2</v>
      </c>
      <c r="E43" s="252">
        <v>390.39</v>
      </c>
      <c r="F43" s="252">
        <f t="shared" si="0"/>
        <v>780.78</v>
      </c>
      <c r="G43" s="253">
        <f t="shared" si="1"/>
        <v>3.3623631679508999E-3</v>
      </c>
      <c r="H43" s="255">
        <f t="shared" si="3"/>
        <v>0.89263434121832197</v>
      </c>
      <c r="I43" s="460"/>
      <c r="P43" s="40">
        <f t="shared" si="2"/>
        <v>232211.68</v>
      </c>
    </row>
    <row r="44" spans="1:16">
      <c r="A44" s="251" t="s">
        <v>33</v>
      </c>
      <c r="B44" s="251" t="s">
        <v>35</v>
      </c>
      <c r="C44" s="252" t="s">
        <v>18</v>
      </c>
      <c r="D44" s="252">
        <v>514.66999999999996</v>
      </c>
      <c r="E44" s="252">
        <v>1.49</v>
      </c>
      <c r="F44" s="252">
        <f t="shared" si="0"/>
        <v>766.86</v>
      </c>
      <c r="G44" s="253">
        <f t="shared" si="1"/>
        <v>3.3024178628740801E-3</v>
      </c>
      <c r="H44" s="255">
        <f t="shared" si="3"/>
        <v>0.89593675908119697</v>
      </c>
      <c r="I44" s="460"/>
      <c r="P44" s="40">
        <f t="shared" si="2"/>
        <v>232211.68</v>
      </c>
    </row>
    <row r="45" spans="1:16" ht="75">
      <c r="A45" s="251" t="s">
        <v>392</v>
      </c>
      <c r="B45" s="251" t="s">
        <v>155</v>
      </c>
      <c r="C45" s="252" t="s">
        <v>28</v>
      </c>
      <c r="D45" s="252">
        <v>1</v>
      </c>
      <c r="E45" s="252">
        <v>747.85</v>
      </c>
      <c r="F45" s="252">
        <f t="shared" si="0"/>
        <v>747.85</v>
      </c>
      <c r="G45" s="253">
        <f t="shared" si="1"/>
        <v>3.2205529024207599E-3</v>
      </c>
      <c r="H45" s="255">
        <f t="shared" si="3"/>
        <v>0.89915731198361704</v>
      </c>
      <c r="I45" s="460"/>
      <c r="P45" s="40">
        <f t="shared" si="2"/>
        <v>232211.68</v>
      </c>
    </row>
    <row r="46" spans="1:16">
      <c r="A46" s="251">
        <v>89168</v>
      </c>
      <c r="B46" s="251" t="s">
        <v>338</v>
      </c>
      <c r="C46" s="252" t="s">
        <v>18</v>
      </c>
      <c r="D46" s="252">
        <v>11.5</v>
      </c>
      <c r="E46" s="252">
        <v>63.16</v>
      </c>
      <c r="F46" s="252">
        <f t="shared" si="0"/>
        <v>726.34</v>
      </c>
      <c r="G46" s="253">
        <f t="shared" si="1"/>
        <v>3.1279219029809301E-3</v>
      </c>
      <c r="H46" s="255">
        <f t="shared" si="3"/>
        <v>0.90228523388659798</v>
      </c>
      <c r="I46" s="460"/>
      <c r="P46" s="40">
        <f t="shared" si="2"/>
        <v>232211.68</v>
      </c>
    </row>
    <row r="47" spans="1:16" ht="45">
      <c r="A47" s="251">
        <v>91928</v>
      </c>
      <c r="B47" s="251" t="s">
        <v>238</v>
      </c>
      <c r="C47" s="252" t="s">
        <v>55</v>
      </c>
      <c r="D47" s="252">
        <v>173.9</v>
      </c>
      <c r="E47" s="252">
        <v>3.98</v>
      </c>
      <c r="F47" s="252">
        <f t="shared" si="0"/>
        <v>692.12</v>
      </c>
      <c r="G47" s="253">
        <f t="shared" si="1"/>
        <v>2.9805563613337599E-3</v>
      </c>
      <c r="H47" s="255">
        <f t="shared" si="3"/>
        <v>0.90526579024793197</v>
      </c>
      <c r="I47" s="460"/>
      <c r="P47" s="40">
        <f t="shared" si="2"/>
        <v>232211.68</v>
      </c>
    </row>
    <row r="48" spans="1:16" ht="30">
      <c r="A48" s="251" t="s">
        <v>393</v>
      </c>
      <c r="B48" s="251" t="s">
        <v>351</v>
      </c>
      <c r="C48" s="252" t="s">
        <v>28</v>
      </c>
      <c r="D48" s="252">
        <v>1</v>
      </c>
      <c r="E48" s="252">
        <v>683.28</v>
      </c>
      <c r="F48" s="252">
        <f t="shared" si="0"/>
        <v>683.28</v>
      </c>
      <c r="G48" s="253">
        <f t="shared" si="1"/>
        <v>2.9424876474775101E-3</v>
      </c>
      <c r="H48" s="255">
        <f t="shared" si="3"/>
        <v>0.90820827789540903</v>
      </c>
      <c r="I48" s="460"/>
      <c r="P48" s="40">
        <f t="shared" si="2"/>
        <v>232211.68</v>
      </c>
    </row>
    <row r="49" spans="1:16" ht="45">
      <c r="A49" s="251">
        <v>10848</v>
      </c>
      <c r="B49" s="251" t="s">
        <v>332</v>
      </c>
      <c r="C49" s="252" t="s">
        <v>28</v>
      </c>
      <c r="D49" s="252">
        <v>1</v>
      </c>
      <c r="E49" s="252">
        <v>678.38</v>
      </c>
      <c r="F49" s="252">
        <f t="shared" si="0"/>
        <v>678.38</v>
      </c>
      <c r="G49" s="253">
        <f t="shared" si="1"/>
        <v>2.9213862110639699E-3</v>
      </c>
      <c r="H49" s="255">
        <f t="shared" si="3"/>
        <v>0.911129664106473</v>
      </c>
      <c r="I49" s="460"/>
      <c r="P49" s="40">
        <f t="shared" si="2"/>
        <v>232211.68</v>
      </c>
    </row>
    <row r="50" spans="1:16" ht="45">
      <c r="A50" s="251">
        <v>91924</v>
      </c>
      <c r="B50" s="251" t="s">
        <v>234</v>
      </c>
      <c r="C50" s="252" t="s">
        <v>55</v>
      </c>
      <c r="D50" s="252">
        <v>430.8</v>
      </c>
      <c r="E50" s="252">
        <v>1.57</v>
      </c>
      <c r="F50" s="252">
        <f t="shared" si="0"/>
        <v>676.36</v>
      </c>
      <c r="G50" s="253">
        <f t="shared" si="1"/>
        <v>2.9126872515628801E-3</v>
      </c>
      <c r="H50" s="255">
        <f t="shared" si="3"/>
        <v>0.91404235135803602</v>
      </c>
      <c r="I50" s="460"/>
      <c r="P50" s="40">
        <f t="shared" si="2"/>
        <v>232211.68</v>
      </c>
    </row>
    <row r="51" spans="1:16">
      <c r="A51" s="251">
        <v>84125</v>
      </c>
      <c r="B51" s="251" t="s">
        <v>325</v>
      </c>
      <c r="C51" s="252" t="s">
        <v>18</v>
      </c>
      <c r="D51" s="252">
        <v>98.82</v>
      </c>
      <c r="E51" s="252">
        <v>6.82</v>
      </c>
      <c r="F51" s="252">
        <f t="shared" si="0"/>
        <v>673.95</v>
      </c>
      <c r="G51" s="253">
        <f t="shared" si="1"/>
        <v>2.9023087899799002E-3</v>
      </c>
      <c r="H51" s="255">
        <f t="shared" si="3"/>
        <v>0.91694466014801601</v>
      </c>
      <c r="I51" s="460"/>
      <c r="P51" s="40">
        <f t="shared" si="2"/>
        <v>232211.68</v>
      </c>
    </row>
    <row r="52" spans="1:16" ht="30">
      <c r="A52" s="251">
        <v>93009</v>
      </c>
      <c r="B52" s="251" t="s">
        <v>217</v>
      </c>
      <c r="C52" s="252" t="s">
        <v>55</v>
      </c>
      <c r="D52" s="252">
        <v>48.5</v>
      </c>
      <c r="E52" s="252">
        <v>13.52</v>
      </c>
      <c r="F52" s="252">
        <f t="shared" si="0"/>
        <v>655.72</v>
      </c>
      <c r="G52" s="253">
        <f t="shared" si="1"/>
        <v>2.8238028336903601E-3</v>
      </c>
      <c r="H52" s="255">
        <f t="shared" si="3"/>
        <v>0.919768462981707</v>
      </c>
      <c r="I52" s="460"/>
    </row>
    <row r="53" spans="1:16" ht="45">
      <c r="A53" s="251">
        <v>92984</v>
      </c>
      <c r="B53" s="251" t="s">
        <v>242</v>
      </c>
      <c r="C53" s="252" t="s">
        <v>55</v>
      </c>
      <c r="D53" s="252">
        <v>52.1</v>
      </c>
      <c r="E53" s="252">
        <v>12.36</v>
      </c>
      <c r="F53" s="252">
        <f t="shared" si="0"/>
        <v>643.96</v>
      </c>
      <c r="G53" s="253">
        <f t="shared" si="1"/>
        <v>2.7731593862978798E-3</v>
      </c>
      <c r="H53" s="255">
        <f t="shared" si="3"/>
        <v>0.92254162236800397</v>
      </c>
      <c r="I53" s="460"/>
      <c r="P53" s="40">
        <f t="shared" si="2"/>
        <v>232211.68</v>
      </c>
    </row>
    <row r="54" spans="1:16" ht="60">
      <c r="A54" s="251">
        <v>91315</v>
      </c>
      <c r="B54" s="251" t="s">
        <v>106</v>
      </c>
      <c r="C54" s="252" t="s">
        <v>28</v>
      </c>
      <c r="D54" s="252">
        <v>1</v>
      </c>
      <c r="E54" s="252">
        <v>634.32000000000005</v>
      </c>
      <c r="F54" s="252">
        <f t="shared" si="0"/>
        <v>634.32000000000005</v>
      </c>
      <c r="G54" s="253">
        <f t="shared" si="1"/>
        <v>2.73164553996595E-3</v>
      </c>
      <c r="H54" s="255">
        <f t="shared" si="3"/>
        <v>0.92527326790797004</v>
      </c>
      <c r="I54" s="460"/>
      <c r="P54" s="40">
        <f t="shared" si="2"/>
        <v>232211.68</v>
      </c>
    </row>
    <row r="55" spans="1:16" ht="45">
      <c r="A55" s="251">
        <v>10851</v>
      </c>
      <c r="B55" s="251" t="s">
        <v>330</v>
      </c>
      <c r="C55" s="252" t="s">
        <v>28</v>
      </c>
      <c r="D55" s="252">
        <v>14</v>
      </c>
      <c r="E55" s="252">
        <v>43.99</v>
      </c>
      <c r="F55" s="252">
        <f t="shared" si="0"/>
        <v>615.86</v>
      </c>
      <c r="G55" s="253">
        <f t="shared" si="1"/>
        <v>2.65214910808965E-3</v>
      </c>
      <c r="H55" s="255">
        <f t="shared" si="3"/>
        <v>0.92792541701606002</v>
      </c>
      <c r="I55" s="460"/>
      <c r="P55" s="40">
        <f t="shared" si="2"/>
        <v>232211.68</v>
      </c>
    </row>
    <row r="56" spans="1:16" ht="45">
      <c r="A56" s="251" t="s">
        <v>394</v>
      </c>
      <c r="B56" s="251" t="s">
        <v>395</v>
      </c>
      <c r="C56" s="252" t="s">
        <v>28</v>
      </c>
      <c r="D56" s="252">
        <v>18</v>
      </c>
      <c r="E56" s="252">
        <v>31.17</v>
      </c>
      <c r="F56" s="252">
        <f t="shared" si="0"/>
        <v>561.05999999999995</v>
      </c>
      <c r="G56" s="253">
        <f t="shared" si="1"/>
        <v>2.4161575335056402E-3</v>
      </c>
      <c r="H56" s="255">
        <f t="shared" si="3"/>
        <v>0.93034157454956601</v>
      </c>
      <c r="I56" s="460"/>
    </row>
    <row r="57" spans="1:16" ht="45">
      <c r="A57" s="251" t="s">
        <v>92</v>
      </c>
      <c r="B57" s="251" t="s">
        <v>94</v>
      </c>
      <c r="C57" s="252" t="s">
        <v>18</v>
      </c>
      <c r="D57" s="252">
        <v>44.49</v>
      </c>
      <c r="E57" s="252">
        <v>12.41</v>
      </c>
      <c r="F57" s="252">
        <f t="shared" si="0"/>
        <v>552.12</v>
      </c>
      <c r="G57" s="253">
        <f t="shared" si="1"/>
        <v>2.3776581780899199E-3</v>
      </c>
      <c r="H57" s="255">
        <f t="shared" si="3"/>
        <v>0.932719232727656</v>
      </c>
      <c r="I57" s="460"/>
      <c r="P57" s="40">
        <f t="shared" si="2"/>
        <v>232211.68</v>
      </c>
    </row>
    <row r="58" spans="1:16" ht="30">
      <c r="A58" s="251" t="s">
        <v>396</v>
      </c>
      <c r="B58" s="251" t="s">
        <v>221</v>
      </c>
      <c r="C58" s="252" t="s">
        <v>28</v>
      </c>
      <c r="D58" s="252">
        <v>60</v>
      </c>
      <c r="E58" s="252">
        <v>8.81</v>
      </c>
      <c r="F58" s="252">
        <f t="shared" si="0"/>
        <v>528.6</v>
      </c>
      <c r="G58" s="253">
        <f t="shared" si="1"/>
        <v>2.2763712833049599E-3</v>
      </c>
      <c r="H58" s="255">
        <f t="shared" si="3"/>
        <v>0.93499560401096005</v>
      </c>
      <c r="I58" s="460"/>
      <c r="P58" s="40">
        <f t="shared" si="2"/>
        <v>232211.68</v>
      </c>
    </row>
    <row r="59" spans="1:16" ht="75">
      <c r="A59" s="251" t="s">
        <v>257</v>
      </c>
      <c r="B59" s="251" t="s">
        <v>259</v>
      </c>
      <c r="C59" s="252" t="s">
        <v>28</v>
      </c>
      <c r="D59" s="252">
        <v>1</v>
      </c>
      <c r="E59" s="252">
        <v>519.96</v>
      </c>
      <c r="F59" s="252">
        <f t="shared" si="0"/>
        <v>519.96</v>
      </c>
      <c r="G59" s="253">
        <f t="shared" si="1"/>
        <v>2.23916385256762E-3</v>
      </c>
      <c r="H59" s="255">
        <f t="shared" si="3"/>
        <v>0.937234767863528</v>
      </c>
      <c r="I59" s="460"/>
      <c r="P59" s="259">
        <f t="shared" si="2"/>
        <v>232211.68</v>
      </c>
    </row>
    <row r="60" spans="1:16" ht="30">
      <c r="A60" s="251">
        <v>84845</v>
      </c>
      <c r="B60" s="251" t="s">
        <v>117</v>
      </c>
      <c r="C60" s="252" t="s">
        <v>18</v>
      </c>
      <c r="D60" s="252">
        <v>1.96</v>
      </c>
      <c r="E60" s="252">
        <v>257.14</v>
      </c>
      <c r="F60" s="252">
        <f t="shared" si="0"/>
        <v>503.99</v>
      </c>
      <c r="G60" s="253">
        <f t="shared" si="1"/>
        <v>2.1703903955218799E-3</v>
      </c>
      <c r="H60" s="255">
        <f t="shared" si="3"/>
        <v>0.93940515825905002</v>
      </c>
      <c r="I60" s="460"/>
      <c r="O60" s="260"/>
      <c r="P60" s="259">
        <f t="shared" si="2"/>
        <v>232211.68</v>
      </c>
    </row>
    <row r="61" spans="1:16" ht="30">
      <c r="A61" s="251">
        <v>72254</v>
      </c>
      <c r="B61" s="251" t="s">
        <v>247</v>
      </c>
      <c r="C61" s="252" t="s">
        <v>55</v>
      </c>
      <c r="D61" s="252">
        <v>16.5</v>
      </c>
      <c r="E61" s="252">
        <v>30.47</v>
      </c>
      <c r="F61" s="252">
        <f t="shared" si="0"/>
        <v>502.76</v>
      </c>
      <c r="G61" s="253">
        <f t="shared" si="1"/>
        <v>2.1650935043405202E-3</v>
      </c>
      <c r="H61" s="255">
        <f t="shared" si="3"/>
        <v>0.94157025176339104</v>
      </c>
      <c r="I61" s="460"/>
      <c r="O61" s="260"/>
      <c r="P61" s="259">
        <f t="shared" si="2"/>
        <v>232211.68</v>
      </c>
    </row>
    <row r="62" spans="1:16" ht="30">
      <c r="A62" s="251">
        <v>37539</v>
      </c>
      <c r="B62" s="251" t="s">
        <v>164</v>
      </c>
      <c r="C62" s="252" t="s">
        <v>28</v>
      </c>
      <c r="D62" s="252">
        <v>24</v>
      </c>
      <c r="E62" s="252">
        <v>20</v>
      </c>
      <c r="F62" s="252">
        <f t="shared" si="0"/>
        <v>480</v>
      </c>
      <c r="G62" s="253">
        <f t="shared" si="1"/>
        <v>2.0670794854074498E-3</v>
      </c>
      <c r="H62" s="255">
        <f t="shared" si="3"/>
        <v>0.94363733124879801</v>
      </c>
      <c r="I62" s="460"/>
      <c r="O62" s="260"/>
      <c r="P62" s="259">
        <f t="shared" si="2"/>
        <v>232211.68</v>
      </c>
    </row>
    <row r="63" spans="1:16" ht="60">
      <c r="A63" s="251">
        <v>91867</v>
      </c>
      <c r="B63" s="251" t="s">
        <v>215</v>
      </c>
      <c r="C63" s="252" t="s">
        <v>55</v>
      </c>
      <c r="D63" s="252">
        <v>79.099999999999994</v>
      </c>
      <c r="E63" s="252">
        <v>6.06</v>
      </c>
      <c r="F63" s="252">
        <f t="shared" si="0"/>
        <v>479.35</v>
      </c>
      <c r="G63" s="253">
        <f t="shared" si="1"/>
        <v>2.0642803152709599E-3</v>
      </c>
      <c r="H63" s="255">
        <f t="shared" si="3"/>
        <v>0.94570161156406896</v>
      </c>
      <c r="I63" s="460"/>
      <c r="O63" s="260"/>
      <c r="P63" s="259">
        <f t="shared" si="2"/>
        <v>232211.68</v>
      </c>
    </row>
    <row r="64" spans="1:16" ht="30">
      <c r="A64" s="251" t="s">
        <v>397</v>
      </c>
      <c r="B64" s="251" t="s">
        <v>178</v>
      </c>
      <c r="C64" s="252" t="s">
        <v>28</v>
      </c>
      <c r="D64" s="252">
        <v>12</v>
      </c>
      <c r="E64" s="252">
        <v>39.81</v>
      </c>
      <c r="F64" s="252">
        <f t="shared" si="0"/>
        <v>477.72</v>
      </c>
      <c r="G64" s="253">
        <f t="shared" si="1"/>
        <v>2.0572608578517701E-3</v>
      </c>
      <c r="H64" s="255">
        <f t="shared" si="3"/>
        <v>0.94775887242192103</v>
      </c>
      <c r="I64" s="460"/>
      <c r="O64" s="260"/>
      <c r="P64" s="259">
        <f t="shared" si="2"/>
        <v>232211.68</v>
      </c>
    </row>
    <row r="65" spans="1:16" ht="45">
      <c r="A65" s="251">
        <v>92008</v>
      </c>
      <c r="B65" s="251" t="s">
        <v>204</v>
      </c>
      <c r="C65" s="252" t="s">
        <v>28</v>
      </c>
      <c r="D65" s="252">
        <v>16</v>
      </c>
      <c r="E65" s="252">
        <v>29.71</v>
      </c>
      <c r="F65" s="252">
        <f t="shared" si="0"/>
        <v>475.36</v>
      </c>
      <c r="G65" s="253">
        <f t="shared" si="1"/>
        <v>2.0470977170485099E-3</v>
      </c>
      <c r="H65" s="255">
        <f t="shared" si="3"/>
        <v>0.94980597013896895</v>
      </c>
      <c r="I65" s="460"/>
      <c r="O65" s="260"/>
      <c r="P65" s="259">
        <f t="shared" si="2"/>
        <v>232211.68</v>
      </c>
    </row>
    <row r="66" spans="1:16" ht="45">
      <c r="A66" s="251" t="s">
        <v>398</v>
      </c>
      <c r="B66" s="251" t="s">
        <v>286</v>
      </c>
      <c r="C66" s="252" t="s">
        <v>28</v>
      </c>
      <c r="D66" s="252">
        <v>7</v>
      </c>
      <c r="E66" s="252">
        <v>62.84</v>
      </c>
      <c r="F66" s="252">
        <f t="shared" si="0"/>
        <v>439.88</v>
      </c>
      <c r="G66" s="253">
        <f t="shared" si="1"/>
        <v>1.89430609175215E-3</v>
      </c>
      <c r="H66" s="255">
        <f t="shared" si="3"/>
        <v>0.95170027623072095</v>
      </c>
      <c r="I66" s="460"/>
      <c r="O66" s="260"/>
      <c r="P66" s="259">
        <f t="shared" si="2"/>
        <v>232211.68</v>
      </c>
    </row>
    <row r="67" spans="1:16" ht="30">
      <c r="A67" s="251">
        <v>94990</v>
      </c>
      <c r="B67" s="251" t="s">
        <v>346</v>
      </c>
      <c r="C67" s="252" t="s">
        <v>46</v>
      </c>
      <c r="D67" s="252">
        <v>0.7</v>
      </c>
      <c r="E67" s="252">
        <v>623.91999999999996</v>
      </c>
      <c r="F67" s="252">
        <f t="shared" si="0"/>
        <v>436.74</v>
      </c>
      <c r="G67" s="253">
        <f t="shared" si="1"/>
        <v>1.88078394678511E-3</v>
      </c>
      <c r="H67" s="255">
        <f t="shared" si="3"/>
        <v>0.95358106017750599</v>
      </c>
      <c r="I67" s="461" t="s">
        <v>399</v>
      </c>
      <c r="O67" s="260"/>
      <c r="P67" s="259">
        <f t="shared" si="2"/>
        <v>232211.68</v>
      </c>
    </row>
    <row r="68" spans="1:16" ht="45">
      <c r="A68" s="251" t="s">
        <v>75</v>
      </c>
      <c r="B68" s="251" t="s">
        <v>77</v>
      </c>
      <c r="C68" s="252" t="s">
        <v>18</v>
      </c>
      <c r="D68" s="252">
        <v>10.74</v>
      </c>
      <c r="E68" s="252">
        <v>39.840000000000003</v>
      </c>
      <c r="F68" s="252">
        <f t="shared" si="0"/>
        <v>427.88</v>
      </c>
      <c r="G68" s="253">
        <f t="shared" si="1"/>
        <v>1.84262910461696E-3</v>
      </c>
      <c r="H68" s="255">
        <f t="shared" si="3"/>
        <v>0.95542368928212296</v>
      </c>
      <c r="I68" s="462"/>
      <c r="O68" s="260"/>
      <c r="P68" s="259">
        <f t="shared" si="2"/>
        <v>232211.68</v>
      </c>
    </row>
    <row r="69" spans="1:16" ht="75">
      <c r="A69" s="251">
        <v>89168</v>
      </c>
      <c r="B69" s="251" t="s">
        <v>65</v>
      </c>
      <c r="C69" s="252" t="s">
        <v>18</v>
      </c>
      <c r="D69" s="252">
        <v>6.75</v>
      </c>
      <c r="E69" s="252">
        <v>63.19</v>
      </c>
      <c r="F69" s="252">
        <f t="shared" si="0"/>
        <v>426.53</v>
      </c>
      <c r="G69" s="253">
        <f t="shared" si="1"/>
        <v>1.8368154435642501E-3</v>
      </c>
      <c r="H69" s="255">
        <f t="shared" si="3"/>
        <v>0.95726050472568802</v>
      </c>
      <c r="I69" s="462"/>
      <c r="O69" s="260"/>
      <c r="P69" s="259">
        <f t="shared" si="2"/>
        <v>232211.68</v>
      </c>
    </row>
    <row r="70" spans="1:16" ht="75">
      <c r="A70" s="251" t="s">
        <v>400</v>
      </c>
      <c r="B70" s="251" t="s">
        <v>249</v>
      </c>
      <c r="C70" s="252" t="s">
        <v>28</v>
      </c>
      <c r="D70" s="252">
        <v>11</v>
      </c>
      <c r="E70" s="252">
        <v>36.49</v>
      </c>
      <c r="F70" s="252">
        <f t="shared" si="0"/>
        <v>401.39</v>
      </c>
      <c r="G70" s="253">
        <f t="shared" si="1"/>
        <v>1.7285521555160401E-3</v>
      </c>
      <c r="H70" s="255">
        <f t="shared" si="3"/>
        <v>0.95898905688120395</v>
      </c>
      <c r="I70" s="462"/>
      <c r="O70" s="260"/>
      <c r="P70" s="259">
        <f t="shared" si="2"/>
        <v>232211.68</v>
      </c>
    </row>
    <row r="71" spans="1:16">
      <c r="A71" s="251">
        <v>85372</v>
      </c>
      <c r="B71" s="251" t="s">
        <v>42</v>
      </c>
      <c r="C71" s="252" t="s">
        <v>18</v>
      </c>
      <c r="D71" s="252">
        <v>180.05</v>
      </c>
      <c r="E71" s="252">
        <v>2.1800000000000002</v>
      </c>
      <c r="F71" s="252">
        <f t="shared" si="0"/>
        <v>392.51</v>
      </c>
      <c r="G71" s="253">
        <f t="shared" si="1"/>
        <v>1.6903111850360001E-3</v>
      </c>
      <c r="H71" s="255">
        <f t="shared" si="3"/>
        <v>0.96067936806623999</v>
      </c>
      <c r="I71" s="462"/>
      <c r="O71" s="260"/>
      <c r="P71" s="259">
        <f t="shared" si="2"/>
        <v>232211.68</v>
      </c>
    </row>
    <row r="72" spans="1:16" ht="60">
      <c r="A72" s="251" t="s">
        <v>401</v>
      </c>
      <c r="B72" s="251" t="s">
        <v>288</v>
      </c>
      <c r="C72" s="252" t="s">
        <v>289</v>
      </c>
      <c r="D72" s="252">
        <v>36.1</v>
      </c>
      <c r="E72" s="252">
        <v>10.72</v>
      </c>
      <c r="F72" s="252">
        <f t="shared" si="0"/>
        <v>386.99</v>
      </c>
      <c r="G72" s="253">
        <f t="shared" si="1"/>
        <v>1.66653977095381E-3</v>
      </c>
      <c r="H72" s="255">
        <f t="shared" si="3"/>
        <v>0.96234590783719398</v>
      </c>
      <c r="I72" s="462"/>
      <c r="O72" s="260"/>
      <c r="P72" s="259">
        <f t="shared" si="2"/>
        <v>232211.68</v>
      </c>
    </row>
    <row r="73" spans="1:16" ht="45">
      <c r="A73" s="251" t="s">
        <v>402</v>
      </c>
      <c r="B73" s="251" t="s">
        <v>251</v>
      </c>
      <c r="C73" s="252" t="s">
        <v>28</v>
      </c>
      <c r="D73" s="252">
        <v>4</v>
      </c>
      <c r="E73" s="252">
        <v>90.49</v>
      </c>
      <c r="F73" s="252">
        <f t="shared" si="0"/>
        <v>361.96</v>
      </c>
      <c r="G73" s="253">
        <f t="shared" si="1"/>
        <v>1.5587501886209999E-3</v>
      </c>
      <c r="H73" s="255">
        <f t="shared" si="3"/>
        <v>0.96390465802581404</v>
      </c>
      <c r="I73" s="462"/>
      <c r="O73" s="260"/>
      <c r="P73" s="259">
        <f t="shared" si="2"/>
        <v>232211.68</v>
      </c>
    </row>
    <row r="74" spans="1:16" ht="75">
      <c r="A74" s="251">
        <v>87529</v>
      </c>
      <c r="B74" s="251" t="s">
        <v>72</v>
      </c>
      <c r="C74" s="252" t="s">
        <v>18</v>
      </c>
      <c r="D74" s="252">
        <v>13.5</v>
      </c>
      <c r="E74" s="252">
        <v>26.69</v>
      </c>
      <c r="F74" s="252">
        <f t="shared" ref="F74:F136" si="4">ROUND(E74*D74,2)</f>
        <v>360.32</v>
      </c>
      <c r="G74" s="253">
        <f t="shared" ref="G74:G136" si="5">F74/$P$9</f>
        <v>1.5516876670458599E-3</v>
      </c>
      <c r="H74" s="255">
        <f t="shared" si="3"/>
        <v>0.96545634569285999</v>
      </c>
      <c r="I74" s="462"/>
      <c r="O74" s="260"/>
      <c r="P74" s="259">
        <f t="shared" ref="P74:P136" si="6">$P$9</f>
        <v>232211.68</v>
      </c>
    </row>
    <row r="75" spans="1:16" ht="45">
      <c r="A75" s="251">
        <v>92000</v>
      </c>
      <c r="B75" s="251" t="s">
        <v>202</v>
      </c>
      <c r="C75" s="252" t="s">
        <v>28</v>
      </c>
      <c r="D75" s="252">
        <v>19</v>
      </c>
      <c r="E75" s="252">
        <v>18.600000000000001</v>
      </c>
      <c r="F75" s="252">
        <f t="shared" si="4"/>
        <v>353.4</v>
      </c>
      <c r="G75" s="253">
        <f t="shared" si="5"/>
        <v>1.5218872711312401E-3</v>
      </c>
      <c r="H75" s="255">
        <f t="shared" ref="H75:H136" si="7">H74+G75</f>
        <v>0.96697823296399199</v>
      </c>
      <c r="I75" s="462"/>
      <c r="O75" s="260"/>
      <c r="P75" s="259">
        <f t="shared" si="6"/>
        <v>232211.68</v>
      </c>
    </row>
    <row r="76" spans="1:16" ht="45">
      <c r="A76" s="251">
        <v>91941</v>
      </c>
      <c r="B76" s="251" t="s">
        <v>228</v>
      </c>
      <c r="C76" s="252" t="s">
        <v>28</v>
      </c>
      <c r="D76" s="252">
        <v>47</v>
      </c>
      <c r="E76" s="252">
        <v>7.3</v>
      </c>
      <c r="F76" s="252">
        <f t="shared" si="4"/>
        <v>343.1</v>
      </c>
      <c r="G76" s="253">
        <f t="shared" si="5"/>
        <v>1.4775311905068701E-3</v>
      </c>
      <c r="H76" s="255">
        <f t="shared" si="7"/>
        <v>0.96845576415449797</v>
      </c>
      <c r="I76" s="462"/>
      <c r="O76" s="260"/>
      <c r="P76" s="259">
        <f t="shared" si="6"/>
        <v>232211.68</v>
      </c>
    </row>
    <row r="77" spans="1:16" ht="60">
      <c r="A77" s="251" t="s">
        <v>403</v>
      </c>
      <c r="B77" s="251" t="s">
        <v>275</v>
      </c>
      <c r="C77" s="252" t="s">
        <v>28</v>
      </c>
      <c r="D77" s="252">
        <v>4</v>
      </c>
      <c r="E77" s="252">
        <v>72.62</v>
      </c>
      <c r="F77" s="252">
        <f t="shared" si="4"/>
        <v>290.48</v>
      </c>
      <c r="G77" s="253">
        <f t="shared" si="5"/>
        <v>1.2509276019190801E-3</v>
      </c>
      <c r="H77" s="255">
        <f t="shared" si="7"/>
        <v>0.96970669175641699</v>
      </c>
      <c r="I77" s="462"/>
      <c r="O77" s="260"/>
      <c r="P77" s="259">
        <f t="shared" si="6"/>
        <v>232211.68</v>
      </c>
    </row>
    <row r="78" spans="1:16" ht="30">
      <c r="A78" s="251">
        <v>95544</v>
      </c>
      <c r="B78" s="251" t="s">
        <v>157</v>
      </c>
      <c r="C78" s="252" t="s">
        <v>28</v>
      </c>
      <c r="D78" s="252">
        <v>13</v>
      </c>
      <c r="E78" s="252">
        <v>22.12</v>
      </c>
      <c r="F78" s="252">
        <f t="shared" si="4"/>
        <v>287.56</v>
      </c>
      <c r="G78" s="253">
        <f t="shared" si="5"/>
        <v>1.2383528683828501E-3</v>
      </c>
      <c r="H78" s="255">
        <f t="shared" si="7"/>
        <v>0.97094504462480002</v>
      </c>
      <c r="I78" s="462"/>
      <c r="O78" s="260"/>
      <c r="P78" s="259">
        <f t="shared" si="6"/>
        <v>232211.68</v>
      </c>
    </row>
    <row r="79" spans="1:16" ht="45">
      <c r="A79" s="251">
        <v>91992</v>
      </c>
      <c r="B79" s="251" t="s">
        <v>188</v>
      </c>
      <c r="C79" s="252" t="s">
        <v>28</v>
      </c>
      <c r="D79" s="252">
        <v>10</v>
      </c>
      <c r="E79" s="252">
        <v>28.7</v>
      </c>
      <c r="F79" s="252">
        <f t="shared" si="4"/>
        <v>287</v>
      </c>
      <c r="G79" s="253">
        <f t="shared" si="5"/>
        <v>1.2359412756498701E-3</v>
      </c>
      <c r="H79" s="255">
        <f t="shared" si="7"/>
        <v>0.97218098590044999</v>
      </c>
      <c r="I79" s="462"/>
      <c r="O79" s="260"/>
      <c r="P79" s="259">
        <f t="shared" si="6"/>
        <v>232211.68</v>
      </c>
    </row>
    <row r="80" spans="1:16" ht="30">
      <c r="A80" s="251">
        <v>85333</v>
      </c>
      <c r="B80" s="251" t="s">
        <v>48</v>
      </c>
      <c r="C80" s="252" t="s">
        <v>28</v>
      </c>
      <c r="D80" s="252">
        <v>16</v>
      </c>
      <c r="E80" s="252">
        <v>17.87</v>
      </c>
      <c r="F80" s="252">
        <f t="shared" si="4"/>
        <v>285.92</v>
      </c>
      <c r="G80" s="253">
        <f t="shared" si="5"/>
        <v>1.2312903468077101E-3</v>
      </c>
      <c r="H80" s="255">
        <f t="shared" si="7"/>
        <v>0.97341227624725801</v>
      </c>
      <c r="I80" s="462"/>
      <c r="O80" s="260"/>
      <c r="P80" s="259">
        <f t="shared" si="6"/>
        <v>232211.68</v>
      </c>
    </row>
    <row r="81" spans="1:16" ht="30">
      <c r="A81" s="251" t="s">
        <v>404</v>
      </c>
      <c r="B81" s="251" t="s">
        <v>405</v>
      </c>
      <c r="C81" s="252" t="s">
        <v>28</v>
      </c>
      <c r="D81" s="252">
        <v>1</v>
      </c>
      <c r="E81" s="252">
        <v>284.33</v>
      </c>
      <c r="F81" s="252">
        <f t="shared" si="4"/>
        <v>284.33</v>
      </c>
      <c r="G81" s="253">
        <f t="shared" si="5"/>
        <v>1.2244431460122899E-3</v>
      </c>
      <c r="H81" s="255">
        <f t="shared" si="7"/>
        <v>0.97463671939327001</v>
      </c>
      <c r="I81" s="462"/>
      <c r="O81" s="260"/>
      <c r="P81" s="259">
        <f t="shared" si="6"/>
        <v>232211.68</v>
      </c>
    </row>
    <row r="82" spans="1:16" ht="45">
      <c r="A82" s="251">
        <v>93661</v>
      </c>
      <c r="B82" s="251" t="s">
        <v>267</v>
      </c>
      <c r="C82" s="252" t="s">
        <v>28</v>
      </c>
      <c r="D82" s="252">
        <v>7</v>
      </c>
      <c r="E82" s="252">
        <v>40.42</v>
      </c>
      <c r="F82" s="252">
        <f t="shared" si="4"/>
        <v>282.94</v>
      </c>
      <c r="G82" s="253">
        <f t="shared" si="5"/>
        <v>1.2184572283358E-3</v>
      </c>
      <c r="H82" s="255">
        <f t="shared" si="7"/>
        <v>0.97585517662160604</v>
      </c>
      <c r="I82" s="462"/>
      <c r="O82" s="260"/>
      <c r="P82" s="259">
        <f t="shared" si="6"/>
        <v>232211.68</v>
      </c>
    </row>
    <row r="83" spans="1:16" ht="30">
      <c r="A83" s="251">
        <v>93392</v>
      </c>
      <c r="B83" s="251" t="s">
        <v>74</v>
      </c>
      <c r="C83" s="252" t="s">
        <v>18</v>
      </c>
      <c r="D83" s="252">
        <v>8.1</v>
      </c>
      <c r="E83" s="252">
        <v>34.11</v>
      </c>
      <c r="F83" s="252">
        <f t="shared" si="4"/>
        <v>276.29000000000002</v>
      </c>
      <c r="G83" s="253">
        <f t="shared" si="5"/>
        <v>1.18981956463172E-3</v>
      </c>
      <c r="H83" s="255">
        <f t="shared" si="7"/>
        <v>0.97704499618623797</v>
      </c>
      <c r="I83" s="462"/>
      <c r="O83" s="260"/>
      <c r="P83" s="259">
        <f t="shared" si="6"/>
        <v>232211.68</v>
      </c>
    </row>
    <row r="84" spans="1:16" ht="30">
      <c r="A84" s="251">
        <v>90456</v>
      </c>
      <c r="B84" s="251" t="s">
        <v>219</v>
      </c>
      <c r="C84" s="252" t="s">
        <v>28</v>
      </c>
      <c r="D84" s="252">
        <v>77</v>
      </c>
      <c r="E84" s="252">
        <v>3.44</v>
      </c>
      <c r="F84" s="252">
        <f t="shared" si="4"/>
        <v>264.88</v>
      </c>
      <c r="G84" s="253">
        <f t="shared" si="5"/>
        <v>1.14068336269735E-3</v>
      </c>
      <c r="H84" s="255">
        <f t="shared" si="7"/>
        <v>0.97818567954893498</v>
      </c>
      <c r="I84" s="462"/>
      <c r="O84" s="260"/>
      <c r="P84" s="259">
        <f t="shared" si="6"/>
        <v>232211.68</v>
      </c>
    </row>
    <row r="85" spans="1:16" ht="75">
      <c r="A85" s="251" t="s">
        <v>254</v>
      </c>
      <c r="B85" s="251" t="s">
        <v>256</v>
      </c>
      <c r="C85" s="252" t="s">
        <v>28</v>
      </c>
      <c r="D85" s="252">
        <v>1</v>
      </c>
      <c r="E85" s="252">
        <v>249.8</v>
      </c>
      <c r="F85" s="252">
        <f t="shared" si="4"/>
        <v>249.8</v>
      </c>
      <c r="G85" s="253">
        <f t="shared" si="5"/>
        <v>1.0757426155307899E-3</v>
      </c>
      <c r="H85" s="255">
        <f t="shared" si="7"/>
        <v>0.97926142216446599</v>
      </c>
      <c r="I85" s="462"/>
      <c r="O85" s="260"/>
      <c r="P85" s="259">
        <f t="shared" si="6"/>
        <v>232211.68</v>
      </c>
    </row>
    <row r="86" spans="1:16" ht="60">
      <c r="A86" s="251">
        <v>95745</v>
      </c>
      <c r="B86" s="251" t="s">
        <v>303</v>
      </c>
      <c r="C86" s="252" t="s">
        <v>55</v>
      </c>
      <c r="D86" s="252">
        <v>16.7</v>
      </c>
      <c r="E86" s="252">
        <v>14.84</v>
      </c>
      <c r="F86" s="252">
        <f t="shared" si="4"/>
        <v>247.83</v>
      </c>
      <c r="G86" s="253">
        <f t="shared" si="5"/>
        <v>1.06725897680943E-3</v>
      </c>
      <c r="H86" s="255">
        <f t="shared" si="7"/>
        <v>0.98032868114127503</v>
      </c>
      <c r="I86" s="462"/>
      <c r="O86" s="260"/>
      <c r="P86" s="259">
        <f t="shared" si="6"/>
        <v>232211.68</v>
      </c>
    </row>
    <row r="87" spans="1:16" ht="45">
      <c r="A87" s="251">
        <v>91993</v>
      </c>
      <c r="B87" s="251" t="s">
        <v>190</v>
      </c>
      <c r="C87" s="252" t="s">
        <v>28</v>
      </c>
      <c r="D87" s="252">
        <v>8</v>
      </c>
      <c r="E87" s="252">
        <v>29.92</v>
      </c>
      <c r="F87" s="252">
        <f t="shared" si="4"/>
        <v>239.36</v>
      </c>
      <c r="G87" s="253">
        <f t="shared" si="5"/>
        <v>1.03078363672318E-3</v>
      </c>
      <c r="H87" s="255">
        <f t="shared" si="7"/>
        <v>0.98135946477799796</v>
      </c>
      <c r="I87" s="462"/>
      <c r="O87" s="260"/>
      <c r="P87" s="259">
        <f t="shared" si="6"/>
        <v>232211.68</v>
      </c>
    </row>
    <row r="88" spans="1:16" ht="45">
      <c r="A88" s="251">
        <v>91940</v>
      </c>
      <c r="B88" s="251" t="s">
        <v>226</v>
      </c>
      <c r="C88" s="252" t="s">
        <v>224</v>
      </c>
      <c r="D88" s="252">
        <v>20</v>
      </c>
      <c r="E88" s="252">
        <v>11.24</v>
      </c>
      <c r="F88" s="252">
        <f t="shared" si="4"/>
        <v>224.8</v>
      </c>
      <c r="G88" s="253">
        <f t="shared" si="5"/>
        <v>9.6808222566582304E-4</v>
      </c>
      <c r="H88" s="255">
        <f t="shared" si="7"/>
        <v>0.98232754700366398</v>
      </c>
      <c r="I88" s="462"/>
      <c r="O88" s="260"/>
      <c r="P88" s="259">
        <f t="shared" si="6"/>
        <v>232211.68</v>
      </c>
    </row>
    <row r="89" spans="1:16" ht="45">
      <c r="A89" s="251" t="s">
        <v>406</v>
      </c>
      <c r="B89" s="251" t="s">
        <v>273</v>
      </c>
      <c r="C89" s="252" t="s">
        <v>28</v>
      </c>
      <c r="D89" s="252">
        <v>2</v>
      </c>
      <c r="E89" s="252">
        <v>109.53</v>
      </c>
      <c r="F89" s="252">
        <f t="shared" si="4"/>
        <v>219.06</v>
      </c>
      <c r="G89" s="253">
        <f t="shared" si="5"/>
        <v>9.4336340015282604E-4</v>
      </c>
      <c r="H89" s="255">
        <f t="shared" si="7"/>
        <v>0.98327091040381698</v>
      </c>
      <c r="I89" s="462"/>
      <c r="O89" s="260"/>
      <c r="P89" s="259">
        <f t="shared" si="6"/>
        <v>232211.68</v>
      </c>
    </row>
    <row r="90" spans="1:16" ht="45">
      <c r="A90" s="251">
        <v>91939</v>
      </c>
      <c r="B90" s="251" t="s">
        <v>223</v>
      </c>
      <c r="C90" s="252" t="s">
        <v>224</v>
      </c>
      <c r="D90" s="252">
        <v>10</v>
      </c>
      <c r="E90" s="252">
        <v>21.78</v>
      </c>
      <c r="F90" s="252">
        <f t="shared" si="4"/>
        <v>217.8</v>
      </c>
      <c r="G90" s="253">
        <f t="shared" si="5"/>
        <v>9.3793731650363104E-4</v>
      </c>
      <c r="H90" s="255">
        <f t="shared" si="7"/>
        <v>0.98420884772032102</v>
      </c>
      <c r="I90" s="462"/>
      <c r="O90" s="260"/>
      <c r="P90" s="259">
        <f t="shared" si="6"/>
        <v>232211.68</v>
      </c>
    </row>
    <row r="91" spans="1:16" ht="45">
      <c r="A91" s="251">
        <v>91953</v>
      </c>
      <c r="B91" s="251" t="s">
        <v>198</v>
      </c>
      <c r="C91" s="252" t="s">
        <v>28</v>
      </c>
      <c r="D91" s="252">
        <v>12</v>
      </c>
      <c r="E91" s="252">
        <v>17.670000000000002</v>
      </c>
      <c r="F91" s="252">
        <f t="shared" si="4"/>
        <v>212.04</v>
      </c>
      <c r="G91" s="253">
        <f t="shared" si="5"/>
        <v>9.1313236267874195E-4</v>
      </c>
      <c r="H91" s="255">
        <f t="shared" si="7"/>
        <v>0.985121980082999</v>
      </c>
      <c r="I91" s="462"/>
      <c r="O91" s="260"/>
      <c r="P91" s="259">
        <f t="shared" si="6"/>
        <v>232211.68</v>
      </c>
    </row>
    <row r="92" spans="1:16" ht="75">
      <c r="A92" s="251">
        <v>11758</v>
      </c>
      <c r="B92" s="251" t="s">
        <v>159</v>
      </c>
      <c r="C92" s="252" t="s">
        <v>28</v>
      </c>
      <c r="D92" s="252">
        <v>6</v>
      </c>
      <c r="E92" s="252">
        <v>34.89</v>
      </c>
      <c r="F92" s="252">
        <f t="shared" si="4"/>
        <v>209.34</v>
      </c>
      <c r="G92" s="253">
        <f t="shared" si="5"/>
        <v>9.0150504057332501E-4</v>
      </c>
      <c r="H92" s="255">
        <f t="shared" si="7"/>
        <v>0.98602348512357296</v>
      </c>
      <c r="I92" s="462"/>
      <c r="O92" s="260"/>
      <c r="P92" s="259">
        <f t="shared" si="6"/>
        <v>232211.68</v>
      </c>
    </row>
    <row r="93" spans="1:16" ht="45">
      <c r="A93" s="251">
        <v>85005</v>
      </c>
      <c r="B93" s="251" t="s">
        <v>161</v>
      </c>
      <c r="C93" s="252" t="s">
        <v>18</v>
      </c>
      <c r="D93" s="252">
        <v>0.75</v>
      </c>
      <c r="E93" s="252">
        <v>242.94</v>
      </c>
      <c r="F93" s="252">
        <f t="shared" si="4"/>
        <v>182.21</v>
      </c>
      <c r="G93" s="253">
        <f t="shared" si="5"/>
        <v>7.8467198549185796E-4</v>
      </c>
      <c r="H93" s="255">
        <f t="shared" si="7"/>
        <v>0.986808157109064</v>
      </c>
      <c r="I93" s="462"/>
      <c r="O93" s="260"/>
      <c r="P93" s="259">
        <f t="shared" si="6"/>
        <v>232211.68</v>
      </c>
    </row>
    <row r="94" spans="1:16" ht="45">
      <c r="A94" s="251" t="s">
        <v>307</v>
      </c>
      <c r="B94" s="251" t="s">
        <v>309</v>
      </c>
      <c r="C94" s="252" t="s">
        <v>28</v>
      </c>
      <c r="D94" s="252">
        <v>1</v>
      </c>
      <c r="E94" s="252">
        <v>181.22</v>
      </c>
      <c r="F94" s="252">
        <f t="shared" si="4"/>
        <v>181.22</v>
      </c>
      <c r="G94" s="253">
        <f t="shared" si="5"/>
        <v>7.8040863405320503E-4</v>
      </c>
      <c r="H94" s="255">
        <f t="shared" si="7"/>
        <v>0.98758856574311804</v>
      </c>
      <c r="I94" s="462"/>
      <c r="O94" s="260"/>
      <c r="P94" s="259">
        <f t="shared" si="6"/>
        <v>232211.68</v>
      </c>
    </row>
    <row r="95" spans="1:16" ht="30">
      <c r="A95" s="251" t="s">
        <v>407</v>
      </c>
      <c r="B95" s="251" t="s">
        <v>27</v>
      </c>
      <c r="C95" s="252" t="s">
        <v>28</v>
      </c>
      <c r="D95" s="252">
        <v>1</v>
      </c>
      <c r="E95" s="252">
        <v>179.57</v>
      </c>
      <c r="F95" s="252">
        <f t="shared" si="4"/>
        <v>179.57</v>
      </c>
      <c r="G95" s="253">
        <f t="shared" si="5"/>
        <v>7.7330304832211696E-4</v>
      </c>
      <c r="H95" s="255">
        <f t="shared" si="7"/>
        <v>0.98836186879143995</v>
      </c>
      <c r="I95" s="462"/>
      <c r="O95" s="260"/>
      <c r="P95" s="259">
        <f t="shared" si="6"/>
        <v>232211.68</v>
      </c>
    </row>
    <row r="96" spans="1:16">
      <c r="A96" s="251">
        <v>85186</v>
      </c>
      <c r="B96" s="251" t="s">
        <v>317</v>
      </c>
      <c r="C96" s="252" t="s">
        <v>28</v>
      </c>
      <c r="D96" s="252">
        <v>2</v>
      </c>
      <c r="E96" s="252">
        <v>88.75</v>
      </c>
      <c r="F96" s="252">
        <f t="shared" si="4"/>
        <v>177.5</v>
      </c>
      <c r="G96" s="253">
        <f t="shared" si="5"/>
        <v>7.6438876804129697E-4</v>
      </c>
      <c r="H96" s="255">
        <f t="shared" si="7"/>
        <v>0.98912625755948103</v>
      </c>
      <c r="I96" s="462"/>
      <c r="O96" s="260"/>
      <c r="P96" s="259">
        <f t="shared" si="6"/>
        <v>232211.68</v>
      </c>
    </row>
    <row r="97" spans="1:16">
      <c r="A97" s="251" t="s">
        <v>43</v>
      </c>
      <c r="B97" s="251" t="s">
        <v>45</v>
      </c>
      <c r="C97" s="252" t="s">
        <v>46</v>
      </c>
      <c r="D97" s="252">
        <v>1.99</v>
      </c>
      <c r="E97" s="252">
        <v>83.37</v>
      </c>
      <c r="F97" s="252">
        <f t="shared" si="4"/>
        <v>165.91</v>
      </c>
      <c r="G97" s="253">
        <f t="shared" si="5"/>
        <v>7.1447741129989598E-4</v>
      </c>
      <c r="H97" s="255">
        <f t="shared" si="7"/>
        <v>0.98984073497078096</v>
      </c>
      <c r="I97" s="462"/>
      <c r="O97" s="260"/>
      <c r="P97" s="259">
        <f t="shared" si="6"/>
        <v>232211.68</v>
      </c>
    </row>
    <row r="98" spans="1:16" ht="45">
      <c r="A98" s="251">
        <v>83399</v>
      </c>
      <c r="B98" s="251" t="s">
        <v>186</v>
      </c>
      <c r="C98" s="252" t="s">
        <v>28</v>
      </c>
      <c r="D98" s="252">
        <v>6</v>
      </c>
      <c r="E98" s="252">
        <v>27.6</v>
      </c>
      <c r="F98" s="252">
        <f t="shared" si="4"/>
        <v>165.6</v>
      </c>
      <c r="G98" s="253">
        <f t="shared" si="5"/>
        <v>7.1314242246557104E-4</v>
      </c>
      <c r="H98" s="255">
        <f t="shared" si="7"/>
        <v>0.99055387739324696</v>
      </c>
      <c r="I98" s="462"/>
      <c r="O98" s="260"/>
      <c r="P98" s="259">
        <f t="shared" si="6"/>
        <v>232211.68</v>
      </c>
    </row>
    <row r="99" spans="1:16" ht="45">
      <c r="A99" s="251" t="s">
        <v>408</v>
      </c>
      <c r="B99" s="251" t="s">
        <v>284</v>
      </c>
      <c r="C99" s="252" t="s">
        <v>28</v>
      </c>
      <c r="D99" s="252">
        <v>4</v>
      </c>
      <c r="E99" s="252">
        <v>40.43</v>
      </c>
      <c r="F99" s="252">
        <f t="shared" si="4"/>
        <v>161.72</v>
      </c>
      <c r="G99" s="253">
        <f t="shared" si="5"/>
        <v>6.9643352995852703E-4</v>
      </c>
      <c r="H99" s="255">
        <f t="shared" si="7"/>
        <v>0.99125031092320504</v>
      </c>
      <c r="I99" s="462"/>
      <c r="O99" s="260"/>
      <c r="P99" s="259">
        <f t="shared" si="6"/>
        <v>232211.68</v>
      </c>
    </row>
    <row r="100" spans="1:16" ht="30">
      <c r="A100" s="251" t="s">
        <v>137</v>
      </c>
      <c r="B100" s="251" t="s">
        <v>139</v>
      </c>
      <c r="C100" s="252" t="s">
        <v>55</v>
      </c>
      <c r="D100" s="252">
        <v>3.3</v>
      </c>
      <c r="E100" s="252">
        <v>44.49</v>
      </c>
      <c r="F100" s="252">
        <f t="shared" si="4"/>
        <v>146.82</v>
      </c>
      <c r="G100" s="253">
        <f t="shared" si="5"/>
        <v>6.3226793759900402E-4</v>
      </c>
      <c r="H100" s="255">
        <f t="shared" si="7"/>
        <v>0.991882578860804</v>
      </c>
      <c r="I100" s="462"/>
      <c r="O100" s="260"/>
      <c r="P100" s="259">
        <f t="shared" si="6"/>
        <v>232211.68</v>
      </c>
    </row>
    <row r="101" spans="1:16" ht="45">
      <c r="A101" s="251">
        <v>93672</v>
      </c>
      <c r="B101" s="251" t="s">
        <v>269</v>
      </c>
      <c r="C101" s="252" t="s">
        <v>28</v>
      </c>
      <c r="D101" s="252">
        <v>2</v>
      </c>
      <c r="E101" s="252">
        <v>61.33</v>
      </c>
      <c r="F101" s="252">
        <f t="shared" si="4"/>
        <v>122.66</v>
      </c>
      <c r="G101" s="253">
        <f t="shared" si="5"/>
        <v>5.2822493683349597E-4</v>
      </c>
      <c r="H101" s="255">
        <f t="shared" si="7"/>
        <v>0.99241080379763702</v>
      </c>
      <c r="I101" s="462"/>
      <c r="O101" s="260"/>
      <c r="P101" s="259">
        <f t="shared" si="6"/>
        <v>232211.68</v>
      </c>
    </row>
    <row r="102" spans="1:16" ht="30">
      <c r="A102" s="251" t="s">
        <v>409</v>
      </c>
      <c r="B102" s="251" t="s">
        <v>61</v>
      </c>
      <c r="C102" s="252" t="s">
        <v>28</v>
      </c>
      <c r="D102" s="252">
        <v>2</v>
      </c>
      <c r="E102" s="252">
        <v>61.05</v>
      </c>
      <c r="F102" s="252">
        <f t="shared" si="4"/>
        <v>122.1</v>
      </c>
      <c r="G102" s="253">
        <f t="shared" si="5"/>
        <v>5.2581334410052095E-4</v>
      </c>
      <c r="H102" s="255">
        <f t="shared" si="7"/>
        <v>0.99293661714173798</v>
      </c>
      <c r="I102" s="462"/>
      <c r="O102" s="260"/>
      <c r="P102" s="259">
        <f t="shared" si="6"/>
        <v>232211.68</v>
      </c>
    </row>
    <row r="103" spans="1:16" ht="45">
      <c r="A103" s="251" t="s">
        <v>410</v>
      </c>
      <c r="B103" s="251" t="s">
        <v>271</v>
      </c>
      <c r="C103" s="252" t="s">
        <v>28</v>
      </c>
      <c r="D103" s="252">
        <v>1</v>
      </c>
      <c r="E103" s="252">
        <v>120.18</v>
      </c>
      <c r="F103" s="252">
        <f t="shared" si="4"/>
        <v>120.18</v>
      </c>
      <c r="G103" s="253">
        <f t="shared" si="5"/>
        <v>5.1754502615889103E-4</v>
      </c>
      <c r="H103" s="255">
        <f t="shared" si="7"/>
        <v>0.99345416216789695</v>
      </c>
      <c r="I103" s="462"/>
      <c r="O103" s="260"/>
      <c r="P103" s="259">
        <f t="shared" si="6"/>
        <v>232211.68</v>
      </c>
    </row>
    <row r="104" spans="1:16" ht="45">
      <c r="A104" s="251">
        <v>91959</v>
      </c>
      <c r="B104" s="251" t="s">
        <v>200</v>
      </c>
      <c r="C104" s="252" t="s">
        <v>28</v>
      </c>
      <c r="D104" s="252">
        <v>4</v>
      </c>
      <c r="E104" s="252">
        <v>27.91</v>
      </c>
      <c r="F104" s="252">
        <f t="shared" si="4"/>
        <v>111.64</v>
      </c>
      <c r="G104" s="253">
        <f t="shared" si="5"/>
        <v>4.8076823698101599E-4</v>
      </c>
      <c r="H104" s="255">
        <f t="shared" si="7"/>
        <v>0.99393493040487801</v>
      </c>
      <c r="I104" s="462"/>
      <c r="O104" s="260"/>
      <c r="P104" s="259">
        <f t="shared" si="6"/>
        <v>232211.68</v>
      </c>
    </row>
    <row r="105" spans="1:16">
      <c r="A105" s="251">
        <v>7156</v>
      </c>
      <c r="B105" s="251" t="s">
        <v>348</v>
      </c>
      <c r="C105" s="252" t="s">
        <v>18</v>
      </c>
      <c r="D105" s="252">
        <v>4.7</v>
      </c>
      <c r="E105" s="252">
        <v>23.06</v>
      </c>
      <c r="F105" s="252">
        <f t="shared" si="4"/>
        <v>108.38</v>
      </c>
      <c r="G105" s="253">
        <f t="shared" si="5"/>
        <v>4.6672932214262397E-4</v>
      </c>
      <c r="H105" s="255">
        <f t="shared" si="7"/>
        <v>0.99440165972702099</v>
      </c>
      <c r="I105" s="462"/>
      <c r="O105" s="260"/>
      <c r="P105" s="259">
        <f t="shared" si="6"/>
        <v>232211.68</v>
      </c>
    </row>
    <row r="106" spans="1:16" ht="45">
      <c r="A106" s="251" t="s">
        <v>411</v>
      </c>
      <c r="B106" s="251" t="s">
        <v>299</v>
      </c>
      <c r="C106" s="252" t="s">
        <v>28</v>
      </c>
      <c r="D106" s="252">
        <v>12</v>
      </c>
      <c r="E106" s="252">
        <v>7.21</v>
      </c>
      <c r="F106" s="252">
        <f t="shared" si="4"/>
        <v>86.52</v>
      </c>
      <c r="G106" s="253">
        <f t="shared" si="5"/>
        <v>3.7259107724469298E-4</v>
      </c>
      <c r="H106" s="255">
        <f t="shared" si="7"/>
        <v>0.99477425080426496</v>
      </c>
      <c r="I106" s="462"/>
      <c r="O106" s="260"/>
      <c r="P106" s="259">
        <f t="shared" si="6"/>
        <v>232211.68</v>
      </c>
    </row>
    <row r="107" spans="1:16" ht="30">
      <c r="A107" s="251" t="s">
        <v>134</v>
      </c>
      <c r="B107" s="251" t="s">
        <v>136</v>
      </c>
      <c r="C107" s="252" t="s">
        <v>55</v>
      </c>
      <c r="D107" s="252">
        <v>1.87</v>
      </c>
      <c r="E107" s="252">
        <v>42.48</v>
      </c>
      <c r="F107" s="252">
        <f t="shared" si="4"/>
        <v>79.44</v>
      </c>
      <c r="G107" s="253">
        <f t="shared" si="5"/>
        <v>3.4210165483493301E-4</v>
      </c>
      <c r="H107" s="255">
        <f t="shared" si="7"/>
        <v>0.99511635245910002</v>
      </c>
      <c r="I107" s="462"/>
      <c r="O107" s="260"/>
      <c r="P107" s="259">
        <f t="shared" si="6"/>
        <v>232211.68</v>
      </c>
    </row>
    <row r="108" spans="1:16" ht="45">
      <c r="A108" s="251">
        <v>93660</v>
      </c>
      <c r="B108" s="251" t="s">
        <v>265</v>
      </c>
      <c r="C108" s="252" t="s">
        <v>28</v>
      </c>
      <c r="D108" s="252">
        <v>2</v>
      </c>
      <c r="E108" s="252">
        <v>39.270000000000003</v>
      </c>
      <c r="F108" s="252">
        <f t="shared" si="4"/>
        <v>78.540000000000006</v>
      </c>
      <c r="G108" s="253">
        <f t="shared" si="5"/>
        <v>3.3822588079979399E-4</v>
      </c>
      <c r="H108" s="255">
        <f t="shared" si="7"/>
        <v>0.99545457833990003</v>
      </c>
      <c r="I108" s="462"/>
      <c r="O108" s="260"/>
      <c r="P108" s="259">
        <f t="shared" si="6"/>
        <v>232211.68</v>
      </c>
    </row>
    <row r="109" spans="1:16" ht="45">
      <c r="A109" s="251">
        <v>93654</v>
      </c>
      <c r="B109" s="251" t="s">
        <v>263</v>
      </c>
      <c r="C109" s="252" t="s">
        <v>28</v>
      </c>
      <c r="D109" s="252">
        <v>9</v>
      </c>
      <c r="E109" s="252">
        <v>8.43</v>
      </c>
      <c r="F109" s="252">
        <f t="shared" si="4"/>
        <v>75.87</v>
      </c>
      <c r="G109" s="253">
        <f t="shared" si="5"/>
        <v>3.2672775116221502E-4</v>
      </c>
      <c r="H109" s="255">
        <f t="shared" si="7"/>
        <v>0.99578130609106197</v>
      </c>
      <c r="I109" s="462"/>
      <c r="O109" s="260"/>
      <c r="P109" s="259">
        <f t="shared" si="6"/>
        <v>232211.68</v>
      </c>
    </row>
    <row r="110" spans="1:16" ht="45">
      <c r="A110" s="251">
        <v>92005</v>
      </c>
      <c r="B110" s="251" t="s">
        <v>196</v>
      </c>
      <c r="C110" s="252" t="s">
        <v>28</v>
      </c>
      <c r="D110" s="252">
        <v>2</v>
      </c>
      <c r="E110" s="252">
        <v>37.81</v>
      </c>
      <c r="F110" s="252">
        <f t="shared" si="4"/>
        <v>75.62</v>
      </c>
      <c r="G110" s="253">
        <f t="shared" si="5"/>
        <v>3.2565114726356602E-4</v>
      </c>
      <c r="H110" s="255">
        <f t="shared" si="7"/>
        <v>0.99610695723832599</v>
      </c>
      <c r="I110" s="462"/>
      <c r="O110" s="260"/>
      <c r="P110" s="259">
        <f t="shared" si="6"/>
        <v>232211.68</v>
      </c>
    </row>
    <row r="111" spans="1:16" ht="30">
      <c r="A111" s="251" t="s">
        <v>127</v>
      </c>
      <c r="B111" s="251" t="s">
        <v>129</v>
      </c>
      <c r="C111" s="252" t="s">
        <v>55</v>
      </c>
      <c r="D111" s="252">
        <v>4.33</v>
      </c>
      <c r="E111" s="252">
        <v>16.38</v>
      </c>
      <c r="F111" s="252">
        <f t="shared" si="4"/>
        <v>70.930000000000007</v>
      </c>
      <c r="G111" s="253">
        <f t="shared" si="5"/>
        <v>3.0545405812489702E-4</v>
      </c>
      <c r="H111" s="255">
        <f t="shared" si="7"/>
        <v>0.99641241129645097</v>
      </c>
      <c r="I111" s="462"/>
      <c r="O111" s="260"/>
      <c r="P111" s="259">
        <f t="shared" si="6"/>
        <v>232211.68</v>
      </c>
    </row>
    <row r="112" spans="1:16" ht="45">
      <c r="A112" s="251" t="s">
        <v>412</v>
      </c>
      <c r="B112" s="251" t="s">
        <v>291</v>
      </c>
      <c r="C112" s="252" t="s">
        <v>28</v>
      </c>
      <c r="D112" s="252">
        <v>2</v>
      </c>
      <c r="E112" s="252">
        <v>35.130000000000003</v>
      </c>
      <c r="F112" s="252">
        <f t="shared" si="4"/>
        <v>70.260000000000005</v>
      </c>
      <c r="G112" s="253">
        <f t="shared" si="5"/>
        <v>3.02568759676516E-4</v>
      </c>
      <c r="H112" s="255">
        <f t="shared" si="7"/>
        <v>0.99671498005612702</v>
      </c>
      <c r="I112" s="462"/>
      <c r="O112" s="260"/>
      <c r="P112" s="259">
        <f t="shared" si="6"/>
        <v>232211.68</v>
      </c>
    </row>
    <row r="113" spans="1:16">
      <c r="A113" s="251">
        <v>94207</v>
      </c>
      <c r="B113" s="251" t="s">
        <v>344</v>
      </c>
      <c r="C113" s="252" t="s">
        <v>18</v>
      </c>
      <c r="D113" s="252">
        <v>2.25</v>
      </c>
      <c r="E113" s="252">
        <v>31.19</v>
      </c>
      <c r="F113" s="252">
        <f t="shared" si="4"/>
        <v>70.180000000000007</v>
      </c>
      <c r="G113" s="253">
        <f t="shared" si="5"/>
        <v>3.0222424642894802E-4</v>
      </c>
      <c r="H113" s="255">
        <f t="shared" si="7"/>
        <v>0.99701720430255603</v>
      </c>
      <c r="I113" s="462"/>
      <c r="O113" s="260"/>
      <c r="P113" s="259">
        <f t="shared" si="6"/>
        <v>232211.68</v>
      </c>
    </row>
    <row r="114" spans="1:16" ht="45">
      <c r="A114" s="251">
        <v>92980</v>
      </c>
      <c r="B114" s="251" t="s">
        <v>240</v>
      </c>
      <c r="C114" s="252" t="s">
        <v>55</v>
      </c>
      <c r="D114" s="252">
        <v>12</v>
      </c>
      <c r="E114" s="252">
        <v>4.63</v>
      </c>
      <c r="F114" s="252">
        <f t="shared" si="4"/>
        <v>55.56</v>
      </c>
      <c r="G114" s="253">
        <f t="shared" si="5"/>
        <v>2.3926445043591301E-4</v>
      </c>
      <c r="H114" s="255">
        <f t="shared" si="7"/>
        <v>0.99725646875299201</v>
      </c>
      <c r="I114" s="462"/>
      <c r="O114" s="260"/>
      <c r="P114" s="259">
        <f t="shared" si="6"/>
        <v>232211.68</v>
      </c>
    </row>
    <row r="115" spans="1:16" ht="45">
      <c r="A115" s="251" t="s">
        <v>413</v>
      </c>
      <c r="B115" s="251" t="s">
        <v>293</v>
      </c>
      <c r="C115" s="252" t="s">
        <v>28</v>
      </c>
      <c r="D115" s="252">
        <v>2</v>
      </c>
      <c r="E115" s="252">
        <v>27.3</v>
      </c>
      <c r="F115" s="252">
        <f t="shared" si="4"/>
        <v>54.6</v>
      </c>
      <c r="G115" s="253">
        <f t="shared" si="5"/>
        <v>2.3513029146509799E-4</v>
      </c>
      <c r="H115" s="255">
        <f t="shared" si="7"/>
        <v>0.99749159904445694</v>
      </c>
      <c r="I115" s="462"/>
      <c r="O115" s="260"/>
      <c r="P115" s="259">
        <f t="shared" si="6"/>
        <v>232211.68</v>
      </c>
    </row>
    <row r="116" spans="1:16" ht="45">
      <c r="A116" s="251">
        <v>87879</v>
      </c>
      <c r="B116" s="251" t="s">
        <v>70</v>
      </c>
      <c r="C116" s="252" t="s">
        <v>18</v>
      </c>
      <c r="D116" s="252">
        <v>13.5</v>
      </c>
      <c r="E116" s="252">
        <v>3.25</v>
      </c>
      <c r="F116" s="252">
        <f t="shared" si="4"/>
        <v>43.88</v>
      </c>
      <c r="G116" s="253">
        <f t="shared" si="5"/>
        <v>1.88965516290998E-4</v>
      </c>
      <c r="H116" s="255">
        <f t="shared" si="7"/>
        <v>0.99768056456074805</v>
      </c>
      <c r="I116" s="462"/>
      <c r="O116" s="260"/>
      <c r="P116" s="259">
        <f t="shared" si="6"/>
        <v>232211.68</v>
      </c>
    </row>
    <row r="117" spans="1:16" ht="30">
      <c r="A117" s="251" t="s">
        <v>414</v>
      </c>
      <c r="B117" s="251" t="s">
        <v>335</v>
      </c>
      <c r="C117" s="252" t="s">
        <v>46</v>
      </c>
      <c r="D117" s="252">
        <v>0.04</v>
      </c>
      <c r="E117" s="252">
        <v>994.52</v>
      </c>
      <c r="F117" s="252">
        <f t="shared" si="4"/>
        <v>39.78</v>
      </c>
      <c r="G117" s="253">
        <f t="shared" si="5"/>
        <v>1.7130921235314299E-4</v>
      </c>
      <c r="H117" s="255">
        <f t="shared" si="7"/>
        <v>0.99785187377310103</v>
      </c>
      <c r="I117" s="462"/>
      <c r="O117" s="260"/>
      <c r="P117" s="259">
        <f t="shared" si="6"/>
        <v>232211.68</v>
      </c>
    </row>
    <row r="118" spans="1:16" ht="45">
      <c r="A118" s="251">
        <v>93653</v>
      </c>
      <c r="B118" s="251" t="s">
        <v>261</v>
      </c>
      <c r="C118" s="252" t="s">
        <v>28</v>
      </c>
      <c r="D118" s="252">
        <v>5</v>
      </c>
      <c r="E118" s="252">
        <v>7.94</v>
      </c>
      <c r="F118" s="252">
        <f t="shared" si="4"/>
        <v>39.700000000000003</v>
      </c>
      <c r="G118" s="253">
        <f t="shared" si="5"/>
        <v>1.7096469910557501E-4</v>
      </c>
      <c r="H118" s="255">
        <f t="shared" si="7"/>
        <v>0.99802283847220696</v>
      </c>
      <c r="I118" s="462"/>
      <c r="O118" s="260"/>
      <c r="P118" s="259">
        <f t="shared" si="6"/>
        <v>232211.68</v>
      </c>
    </row>
    <row r="119" spans="1:16" ht="45">
      <c r="A119" s="251">
        <v>84665</v>
      </c>
      <c r="B119" s="251" t="s">
        <v>170</v>
      </c>
      <c r="C119" s="252" t="s">
        <v>18</v>
      </c>
      <c r="D119" s="252">
        <v>2</v>
      </c>
      <c r="E119" s="252">
        <v>17.93</v>
      </c>
      <c r="F119" s="252">
        <f t="shared" si="4"/>
        <v>35.86</v>
      </c>
      <c r="G119" s="253">
        <f t="shared" si="5"/>
        <v>1.5442806322231499E-4</v>
      </c>
      <c r="H119" s="255">
        <f t="shared" si="7"/>
        <v>0.99817726653542904</v>
      </c>
      <c r="I119" s="462"/>
      <c r="O119" s="260"/>
      <c r="P119" s="259">
        <f t="shared" si="6"/>
        <v>232211.68</v>
      </c>
    </row>
    <row r="120" spans="1:16" ht="30">
      <c r="A120" s="251" t="s">
        <v>107</v>
      </c>
      <c r="B120" s="251" t="s">
        <v>109</v>
      </c>
      <c r="C120" s="252" t="s">
        <v>55</v>
      </c>
      <c r="D120" s="252">
        <v>0.9</v>
      </c>
      <c r="E120" s="252">
        <v>38.130000000000003</v>
      </c>
      <c r="F120" s="252">
        <f t="shared" si="4"/>
        <v>34.32</v>
      </c>
      <c r="G120" s="253">
        <f t="shared" si="5"/>
        <v>1.47796183206633E-4</v>
      </c>
      <c r="H120" s="255">
        <f t="shared" si="7"/>
        <v>0.99832506271863597</v>
      </c>
      <c r="I120" s="462"/>
      <c r="O120" s="260"/>
      <c r="P120" s="259">
        <f t="shared" si="6"/>
        <v>232211.68</v>
      </c>
    </row>
    <row r="121" spans="1:16">
      <c r="A121" s="251">
        <v>85334</v>
      </c>
      <c r="B121" s="251" t="s">
        <v>59</v>
      </c>
      <c r="C121" s="252" t="s">
        <v>18</v>
      </c>
      <c r="D121" s="252">
        <v>2.2949999999999999</v>
      </c>
      <c r="E121" s="252">
        <v>14.55</v>
      </c>
      <c r="F121" s="252">
        <f t="shared" si="4"/>
        <v>33.39</v>
      </c>
      <c r="G121" s="253">
        <f t="shared" si="5"/>
        <v>1.4379121670365599E-4</v>
      </c>
      <c r="H121" s="255">
        <f t="shared" si="7"/>
        <v>0.99846885393533902</v>
      </c>
      <c r="I121" s="462"/>
      <c r="O121" s="260"/>
      <c r="P121" s="259">
        <f t="shared" si="6"/>
        <v>232211.68</v>
      </c>
    </row>
    <row r="122" spans="1:16" ht="30">
      <c r="A122" s="251" t="s">
        <v>120</v>
      </c>
      <c r="B122" s="251" t="s">
        <v>122</v>
      </c>
      <c r="C122" s="252" t="s">
        <v>55</v>
      </c>
      <c r="D122" s="252">
        <v>0.77500000000000002</v>
      </c>
      <c r="E122" s="252">
        <v>39.85</v>
      </c>
      <c r="F122" s="252">
        <f t="shared" si="4"/>
        <v>30.88</v>
      </c>
      <c r="G122" s="253">
        <f t="shared" si="5"/>
        <v>1.32982113561213E-4</v>
      </c>
      <c r="H122" s="255">
        <f t="shared" si="7"/>
        <v>0.99860183604889996</v>
      </c>
      <c r="I122" s="462"/>
      <c r="O122" s="260"/>
      <c r="P122" s="259">
        <f t="shared" si="6"/>
        <v>232211.68</v>
      </c>
    </row>
    <row r="123" spans="1:16" ht="45">
      <c r="A123" s="251" t="s">
        <v>123</v>
      </c>
      <c r="B123" s="251" t="s">
        <v>125</v>
      </c>
      <c r="C123" s="252" t="s">
        <v>55</v>
      </c>
      <c r="D123" s="252">
        <v>0.77500000000000002</v>
      </c>
      <c r="E123" s="252">
        <v>38.25</v>
      </c>
      <c r="F123" s="252">
        <f t="shared" si="4"/>
        <v>29.64</v>
      </c>
      <c r="G123" s="253">
        <f t="shared" si="5"/>
        <v>1.2764215822390999E-4</v>
      </c>
      <c r="H123" s="255">
        <f t="shared" si="7"/>
        <v>0.99872947820712399</v>
      </c>
      <c r="I123" s="462"/>
      <c r="O123" s="260"/>
      <c r="P123" s="259">
        <f t="shared" si="6"/>
        <v>232211.68</v>
      </c>
    </row>
    <row r="124" spans="1:16" ht="30">
      <c r="A124" s="251" t="s">
        <v>415</v>
      </c>
      <c r="B124" s="251" t="s">
        <v>131</v>
      </c>
      <c r="C124" s="252" t="s">
        <v>28</v>
      </c>
      <c r="D124" s="252">
        <v>1</v>
      </c>
      <c r="E124" s="252">
        <v>29.1</v>
      </c>
      <c r="F124" s="252">
        <f t="shared" si="4"/>
        <v>29.1</v>
      </c>
      <c r="G124" s="253">
        <f t="shared" si="5"/>
        <v>1.25316693802827E-4</v>
      </c>
      <c r="H124" s="255">
        <f t="shared" si="7"/>
        <v>0.99885479490092699</v>
      </c>
      <c r="I124" s="462"/>
      <c r="O124" s="260"/>
      <c r="P124" s="259">
        <f t="shared" si="6"/>
        <v>232211.68</v>
      </c>
    </row>
    <row r="125" spans="1:16" ht="30">
      <c r="A125" s="251" t="s">
        <v>95</v>
      </c>
      <c r="B125" s="251" t="s">
        <v>97</v>
      </c>
      <c r="C125" s="252" t="s">
        <v>18</v>
      </c>
      <c r="D125" s="252">
        <v>1.96</v>
      </c>
      <c r="E125" s="252">
        <v>14.06</v>
      </c>
      <c r="F125" s="252">
        <f t="shared" si="4"/>
        <v>27.56</v>
      </c>
      <c r="G125" s="253">
        <f t="shared" si="5"/>
        <v>1.18684813787145E-4</v>
      </c>
      <c r="H125" s="255">
        <f t="shared" si="7"/>
        <v>0.99897347971471395</v>
      </c>
      <c r="I125" s="462"/>
      <c r="O125" s="260"/>
      <c r="P125" s="259">
        <f t="shared" si="6"/>
        <v>232211.68</v>
      </c>
    </row>
    <row r="126" spans="1:16" ht="30">
      <c r="A126" s="251" t="s">
        <v>171</v>
      </c>
      <c r="B126" s="251" t="s">
        <v>173</v>
      </c>
      <c r="C126" s="252" t="s">
        <v>28</v>
      </c>
      <c r="D126" s="252">
        <v>2</v>
      </c>
      <c r="E126" s="252">
        <v>11.95</v>
      </c>
      <c r="F126" s="252">
        <f t="shared" si="4"/>
        <v>23.9</v>
      </c>
      <c r="G126" s="253">
        <f t="shared" si="5"/>
        <v>1.02923332710913E-4</v>
      </c>
      <c r="H126" s="255">
        <f t="shared" si="7"/>
        <v>0.99907640304742495</v>
      </c>
      <c r="I126" s="462"/>
      <c r="O126" s="260"/>
      <c r="P126" s="259">
        <f t="shared" si="6"/>
        <v>232211.68</v>
      </c>
    </row>
    <row r="127" spans="1:16" ht="45">
      <c r="A127" s="251" t="s">
        <v>416</v>
      </c>
      <c r="B127" s="251" t="s">
        <v>282</v>
      </c>
      <c r="C127" s="252" t="s">
        <v>28</v>
      </c>
      <c r="D127" s="252">
        <v>1</v>
      </c>
      <c r="E127" s="252">
        <v>23.16</v>
      </c>
      <c r="F127" s="252">
        <f t="shared" si="4"/>
        <v>23.16</v>
      </c>
      <c r="G127" s="253">
        <f t="shared" si="5"/>
        <v>9.9736585170909499E-5</v>
      </c>
      <c r="H127" s="255">
        <f t="shared" si="7"/>
        <v>0.99917613963259599</v>
      </c>
      <c r="I127" s="462"/>
      <c r="O127" s="260"/>
      <c r="P127" s="259">
        <f t="shared" si="6"/>
        <v>232211.68</v>
      </c>
    </row>
    <row r="128" spans="1:16">
      <c r="A128" s="251">
        <v>95241</v>
      </c>
      <c r="B128" s="251" t="s">
        <v>340</v>
      </c>
      <c r="C128" s="252" t="s">
        <v>18</v>
      </c>
      <c r="D128" s="252">
        <v>1</v>
      </c>
      <c r="E128" s="252">
        <v>22.65</v>
      </c>
      <c r="F128" s="252">
        <f t="shared" si="4"/>
        <v>22.65</v>
      </c>
      <c r="G128" s="253">
        <f t="shared" si="5"/>
        <v>9.7540313217664104E-5</v>
      </c>
      <c r="H128" s="255">
        <f t="shared" si="7"/>
        <v>0.99927367994581395</v>
      </c>
      <c r="I128" s="462"/>
      <c r="O128" s="260"/>
      <c r="P128" s="259">
        <f t="shared" si="6"/>
        <v>232211.68</v>
      </c>
    </row>
    <row r="129" spans="1:16" ht="45">
      <c r="A129" s="251">
        <v>91997</v>
      </c>
      <c r="B129" s="251" t="s">
        <v>194</v>
      </c>
      <c r="C129" s="252" t="s">
        <v>28</v>
      </c>
      <c r="D129" s="252">
        <v>1</v>
      </c>
      <c r="E129" s="252">
        <v>22.64</v>
      </c>
      <c r="F129" s="252">
        <f t="shared" si="4"/>
        <v>22.64</v>
      </c>
      <c r="G129" s="253">
        <f t="shared" si="5"/>
        <v>9.74972490617181E-5</v>
      </c>
      <c r="H129" s="255">
        <f t="shared" si="7"/>
        <v>0.999371177194875</v>
      </c>
      <c r="I129" s="462"/>
      <c r="O129" s="260"/>
      <c r="P129" s="259">
        <f t="shared" si="6"/>
        <v>232211.68</v>
      </c>
    </row>
    <row r="130" spans="1:16">
      <c r="A130" s="251">
        <v>92544</v>
      </c>
      <c r="B130" s="251" t="s">
        <v>342</v>
      </c>
      <c r="C130" s="252" t="s">
        <v>18</v>
      </c>
      <c r="D130" s="252">
        <v>2.25</v>
      </c>
      <c r="E130" s="252">
        <v>9.68</v>
      </c>
      <c r="F130" s="252">
        <f t="shared" si="4"/>
        <v>21.78</v>
      </c>
      <c r="G130" s="253">
        <f t="shared" si="5"/>
        <v>9.3793731650363099E-5</v>
      </c>
      <c r="H130" s="255">
        <f t="shared" si="7"/>
        <v>0.99946497092652598</v>
      </c>
      <c r="I130" s="462"/>
      <c r="O130" s="260"/>
      <c r="P130" s="259">
        <f t="shared" si="6"/>
        <v>232211.68</v>
      </c>
    </row>
    <row r="131" spans="1:16" ht="30">
      <c r="A131" s="251" t="s">
        <v>417</v>
      </c>
      <c r="B131" s="251" t="s">
        <v>297</v>
      </c>
      <c r="C131" s="252" t="s">
        <v>28</v>
      </c>
      <c r="D131" s="252">
        <v>3</v>
      </c>
      <c r="E131" s="252">
        <v>7.23</v>
      </c>
      <c r="F131" s="252">
        <f t="shared" si="4"/>
        <v>21.69</v>
      </c>
      <c r="G131" s="253">
        <f t="shared" si="5"/>
        <v>9.34061542468492E-5</v>
      </c>
      <c r="H131" s="255">
        <f t="shared" si="7"/>
        <v>0.999558377080773</v>
      </c>
      <c r="I131" s="462"/>
      <c r="O131" s="260"/>
      <c r="P131" s="259">
        <f t="shared" si="6"/>
        <v>232211.68</v>
      </c>
    </row>
    <row r="132" spans="1:16" ht="30">
      <c r="A132" s="251" t="s">
        <v>418</v>
      </c>
      <c r="B132" s="251" t="s">
        <v>319</v>
      </c>
      <c r="C132" s="252" t="s">
        <v>28</v>
      </c>
      <c r="D132" s="252">
        <v>1</v>
      </c>
      <c r="E132" s="252">
        <v>21.6</v>
      </c>
      <c r="F132" s="252">
        <f t="shared" si="4"/>
        <v>21.6</v>
      </c>
      <c r="G132" s="253">
        <f t="shared" si="5"/>
        <v>9.3018576843335301E-5</v>
      </c>
      <c r="H132" s="255">
        <f t="shared" si="7"/>
        <v>0.99965139565761596</v>
      </c>
      <c r="I132" s="462"/>
      <c r="O132" s="260"/>
      <c r="P132" s="259">
        <f t="shared" si="6"/>
        <v>232211.68</v>
      </c>
    </row>
    <row r="133" spans="1:16" ht="30">
      <c r="A133" s="251" t="s">
        <v>419</v>
      </c>
      <c r="B133" s="251" t="s">
        <v>321</v>
      </c>
      <c r="C133" s="252" t="s">
        <v>28</v>
      </c>
      <c r="D133" s="252">
        <v>1</v>
      </c>
      <c r="E133" s="252">
        <v>21.6</v>
      </c>
      <c r="F133" s="252">
        <f t="shared" si="4"/>
        <v>21.6</v>
      </c>
      <c r="G133" s="253">
        <f t="shared" si="5"/>
        <v>9.3018576843335301E-5</v>
      </c>
      <c r="H133" s="255">
        <f t="shared" si="7"/>
        <v>0.99974441423445903</v>
      </c>
      <c r="I133" s="462"/>
      <c r="O133" s="260"/>
      <c r="P133" s="259">
        <f t="shared" si="6"/>
        <v>232211.68</v>
      </c>
    </row>
    <row r="134" spans="1:16" ht="45">
      <c r="A134" s="251">
        <v>91996</v>
      </c>
      <c r="B134" s="251" t="s">
        <v>192</v>
      </c>
      <c r="C134" s="252" t="s">
        <v>28</v>
      </c>
      <c r="D134" s="252">
        <v>1</v>
      </c>
      <c r="E134" s="252">
        <v>21.42</v>
      </c>
      <c r="F134" s="252">
        <f t="shared" si="4"/>
        <v>21.42</v>
      </c>
      <c r="G134" s="253">
        <f t="shared" si="5"/>
        <v>9.2243422036307503E-5</v>
      </c>
      <c r="H134" s="255">
        <f t="shared" si="7"/>
        <v>0.99983665765649599</v>
      </c>
      <c r="I134" s="462"/>
      <c r="O134" s="260"/>
      <c r="P134" s="259">
        <f t="shared" si="6"/>
        <v>232211.68</v>
      </c>
    </row>
    <row r="135" spans="1:16" ht="45">
      <c r="A135" s="251" t="s">
        <v>420</v>
      </c>
      <c r="B135" s="251" t="s">
        <v>295</v>
      </c>
      <c r="C135" s="252" t="s">
        <v>28</v>
      </c>
      <c r="D135" s="252">
        <v>1</v>
      </c>
      <c r="E135" s="252">
        <v>19.72</v>
      </c>
      <c r="F135" s="252">
        <f t="shared" si="4"/>
        <v>19.72</v>
      </c>
      <c r="G135" s="253">
        <f t="shared" si="5"/>
        <v>8.4922515525489496E-5</v>
      </c>
      <c r="H135" s="255">
        <f t="shared" si="7"/>
        <v>0.99992158017202104</v>
      </c>
      <c r="I135" s="462"/>
      <c r="O135" s="260"/>
      <c r="P135" s="259">
        <f t="shared" si="6"/>
        <v>232211.68</v>
      </c>
    </row>
    <row r="136" spans="1:16">
      <c r="A136" s="251">
        <v>89707</v>
      </c>
      <c r="B136" s="251" t="s">
        <v>142</v>
      </c>
      <c r="C136" s="252" t="s">
        <v>28</v>
      </c>
      <c r="D136" s="252">
        <v>1</v>
      </c>
      <c r="E136" s="252">
        <v>18.21</v>
      </c>
      <c r="F136" s="252">
        <f t="shared" si="4"/>
        <v>18.21</v>
      </c>
      <c r="G136" s="253">
        <f t="shared" si="5"/>
        <v>7.8419827977645195E-5</v>
      </c>
      <c r="H136" s="255">
        <f t="shared" si="7"/>
        <v>0.999999999999999</v>
      </c>
      <c r="I136" s="462"/>
      <c r="O136" s="260"/>
      <c r="P136" s="259">
        <f t="shared" si="6"/>
        <v>232211.68</v>
      </c>
    </row>
    <row r="137" spans="1:16">
      <c r="G137" s="261"/>
      <c r="H137" s="262"/>
      <c r="O137" s="260"/>
      <c r="P137" s="259">
        <f t="shared" ref="P137:P200" si="8">$P$9</f>
        <v>232211.68</v>
      </c>
    </row>
    <row r="138" spans="1:16">
      <c r="G138" s="261"/>
      <c r="H138" s="262"/>
      <c r="P138" s="259">
        <f t="shared" si="8"/>
        <v>232211.68</v>
      </c>
    </row>
    <row r="139" spans="1:16">
      <c r="G139" s="261"/>
      <c r="H139" s="262"/>
      <c r="P139" s="259">
        <f t="shared" si="8"/>
        <v>232211.68</v>
      </c>
    </row>
    <row r="140" spans="1:16">
      <c r="G140" s="261"/>
      <c r="H140" s="262"/>
      <c r="P140" s="259">
        <f t="shared" si="8"/>
        <v>232211.68</v>
      </c>
    </row>
    <row r="141" spans="1:16">
      <c r="G141" s="261"/>
      <c r="H141" s="262"/>
      <c r="P141" s="40">
        <f t="shared" si="8"/>
        <v>232211.68</v>
      </c>
    </row>
    <row r="142" spans="1:16">
      <c r="G142" s="261"/>
      <c r="H142" s="262"/>
      <c r="P142" s="40">
        <f t="shared" si="8"/>
        <v>232211.68</v>
      </c>
    </row>
    <row r="143" spans="1:16">
      <c r="G143" s="261"/>
      <c r="H143" s="262"/>
      <c r="P143" s="40">
        <f t="shared" si="8"/>
        <v>232211.68</v>
      </c>
    </row>
    <row r="144" spans="1:16">
      <c r="G144" s="261"/>
      <c r="H144" s="262"/>
      <c r="P144" s="40">
        <f t="shared" si="8"/>
        <v>232211.68</v>
      </c>
    </row>
    <row r="145" spans="7:16">
      <c r="G145" s="261"/>
      <c r="H145" s="262"/>
      <c r="P145" s="40">
        <f t="shared" si="8"/>
        <v>232211.68</v>
      </c>
    </row>
    <row r="146" spans="7:16">
      <c r="G146" s="261"/>
      <c r="H146" s="262"/>
      <c r="P146" s="40">
        <f t="shared" si="8"/>
        <v>232211.68</v>
      </c>
    </row>
    <row r="147" spans="7:16">
      <c r="G147" s="261"/>
      <c r="H147" s="262"/>
      <c r="P147" s="40">
        <f t="shared" si="8"/>
        <v>232211.68</v>
      </c>
    </row>
    <row r="148" spans="7:16">
      <c r="G148" s="261"/>
      <c r="H148" s="262"/>
      <c r="P148" s="40">
        <f t="shared" si="8"/>
        <v>232211.68</v>
      </c>
    </row>
    <row r="149" spans="7:16">
      <c r="G149" s="261"/>
      <c r="H149" s="262"/>
      <c r="P149" s="40">
        <f t="shared" si="8"/>
        <v>232211.68</v>
      </c>
    </row>
    <row r="150" spans="7:16">
      <c r="G150" s="261"/>
      <c r="H150" s="262"/>
      <c r="P150" s="40">
        <f t="shared" si="8"/>
        <v>232211.68</v>
      </c>
    </row>
    <row r="151" spans="7:16">
      <c r="G151" s="261"/>
      <c r="H151" s="262"/>
      <c r="P151" s="40">
        <f t="shared" si="8"/>
        <v>232211.68</v>
      </c>
    </row>
    <row r="152" spans="7:16">
      <c r="G152" s="261"/>
      <c r="H152" s="262"/>
      <c r="P152" s="40">
        <f t="shared" si="8"/>
        <v>232211.68</v>
      </c>
    </row>
    <row r="153" spans="7:16">
      <c r="G153" s="261"/>
      <c r="H153" s="262"/>
      <c r="P153" s="40">
        <f t="shared" si="8"/>
        <v>232211.68</v>
      </c>
    </row>
    <row r="154" spans="7:16">
      <c r="G154" s="261"/>
      <c r="H154" s="262"/>
      <c r="P154" s="40">
        <f t="shared" si="8"/>
        <v>232211.68</v>
      </c>
    </row>
    <row r="155" spans="7:16">
      <c r="G155" s="261"/>
      <c r="H155" s="262"/>
      <c r="P155" s="40">
        <f t="shared" si="8"/>
        <v>232211.68</v>
      </c>
    </row>
    <row r="156" spans="7:16">
      <c r="G156" s="261"/>
      <c r="H156" s="262"/>
      <c r="P156" s="40">
        <f t="shared" si="8"/>
        <v>232211.68</v>
      </c>
    </row>
    <row r="157" spans="7:16">
      <c r="G157" s="261"/>
      <c r="H157" s="262"/>
      <c r="P157" s="40">
        <f t="shared" si="8"/>
        <v>232211.68</v>
      </c>
    </row>
    <row r="158" spans="7:16">
      <c r="G158" s="261"/>
      <c r="H158" s="262"/>
      <c r="P158" s="40">
        <f t="shared" si="8"/>
        <v>232211.68</v>
      </c>
    </row>
    <row r="159" spans="7:16">
      <c r="G159" s="261"/>
      <c r="H159" s="262"/>
      <c r="P159" s="40">
        <f t="shared" si="8"/>
        <v>232211.68</v>
      </c>
    </row>
    <row r="160" spans="7:16">
      <c r="G160" s="261"/>
      <c r="H160" s="262"/>
      <c r="P160" s="40">
        <f t="shared" si="8"/>
        <v>232211.68</v>
      </c>
    </row>
    <row r="161" spans="7:16">
      <c r="G161" s="261"/>
      <c r="H161" s="262"/>
      <c r="P161" s="40">
        <f t="shared" si="8"/>
        <v>232211.68</v>
      </c>
    </row>
    <row r="162" spans="7:16">
      <c r="G162" s="261"/>
      <c r="H162" s="262"/>
      <c r="P162" s="40">
        <f t="shared" si="8"/>
        <v>232211.68</v>
      </c>
    </row>
    <row r="163" spans="7:16">
      <c r="G163" s="261"/>
      <c r="H163" s="262"/>
      <c r="P163" s="40">
        <f t="shared" si="8"/>
        <v>232211.68</v>
      </c>
    </row>
    <row r="164" spans="7:16">
      <c r="G164" s="261"/>
      <c r="H164" s="262"/>
      <c r="P164" s="40">
        <f t="shared" si="8"/>
        <v>232211.68</v>
      </c>
    </row>
    <row r="165" spans="7:16">
      <c r="G165" s="261"/>
      <c r="H165" s="262"/>
      <c r="P165" s="40">
        <f t="shared" si="8"/>
        <v>232211.68</v>
      </c>
    </row>
    <row r="166" spans="7:16">
      <c r="G166" s="261"/>
      <c r="H166" s="262"/>
      <c r="P166" s="40">
        <f t="shared" si="8"/>
        <v>232211.68</v>
      </c>
    </row>
    <row r="167" spans="7:16">
      <c r="G167" s="261"/>
      <c r="H167" s="262"/>
      <c r="P167" s="40">
        <f t="shared" si="8"/>
        <v>232211.68</v>
      </c>
    </row>
    <row r="168" spans="7:16">
      <c r="G168" s="261"/>
      <c r="H168" s="262"/>
      <c r="P168" s="40">
        <f t="shared" si="8"/>
        <v>232211.68</v>
      </c>
    </row>
    <row r="169" spans="7:16">
      <c r="G169" s="261"/>
      <c r="H169" s="262"/>
      <c r="P169" s="40">
        <f t="shared" si="8"/>
        <v>232211.68</v>
      </c>
    </row>
    <row r="170" spans="7:16">
      <c r="G170" s="261"/>
      <c r="H170" s="262"/>
      <c r="P170" s="40">
        <f t="shared" si="8"/>
        <v>232211.68</v>
      </c>
    </row>
    <row r="171" spans="7:16">
      <c r="G171" s="261"/>
      <c r="H171" s="262"/>
      <c r="P171" s="40">
        <f t="shared" si="8"/>
        <v>232211.68</v>
      </c>
    </row>
    <row r="172" spans="7:16">
      <c r="G172" s="261"/>
      <c r="H172" s="262"/>
      <c r="P172" s="40">
        <f t="shared" si="8"/>
        <v>232211.68</v>
      </c>
    </row>
    <row r="173" spans="7:16">
      <c r="G173" s="261"/>
      <c r="H173" s="262"/>
      <c r="P173" s="40">
        <f t="shared" si="8"/>
        <v>232211.68</v>
      </c>
    </row>
    <row r="174" spans="7:16">
      <c r="G174" s="261"/>
      <c r="H174" s="262"/>
      <c r="P174" s="40">
        <f t="shared" si="8"/>
        <v>232211.68</v>
      </c>
    </row>
    <row r="175" spans="7:16">
      <c r="G175" s="261"/>
      <c r="H175" s="262"/>
      <c r="P175" s="40">
        <f t="shared" si="8"/>
        <v>232211.68</v>
      </c>
    </row>
    <row r="176" spans="7:16">
      <c r="G176" s="261"/>
      <c r="H176" s="262"/>
      <c r="P176" s="40">
        <f t="shared" si="8"/>
        <v>232211.68</v>
      </c>
    </row>
    <row r="177" spans="7:16">
      <c r="G177" s="261"/>
      <c r="H177" s="262"/>
      <c r="P177" s="40">
        <f t="shared" si="8"/>
        <v>232211.68</v>
      </c>
    </row>
    <row r="178" spans="7:16">
      <c r="G178" s="261"/>
      <c r="H178" s="262"/>
      <c r="P178" s="40">
        <f t="shared" si="8"/>
        <v>232211.68</v>
      </c>
    </row>
    <row r="179" spans="7:16">
      <c r="G179" s="261"/>
      <c r="H179" s="262"/>
      <c r="P179" s="40">
        <f t="shared" si="8"/>
        <v>232211.68</v>
      </c>
    </row>
    <row r="180" spans="7:16">
      <c r="G180" s="261"/>
      <c r="H180" s="262"/>
      <c r="P180" s="40">
        <f t="shared" si="8"/>
        <v>232211.68</v>
      </c>
    </row>
    <row r="181" spans="7:16">
      <c r="G181" s="261"/>
      <c r="H181" s="262"/>
      <c r="P181" s="40">
        <f t="shared" si="8"/>
        <v>232211.68</v>
      </c>
    </row>
    <row r="182" spans="7:16">
      <c r="G182" s="261"/>
      <c r="H182" s="262"/>
      <c r="P182" s="40">
        <f t="shared" si="8"/>
        <v>232211.68</v>
      </c>
    </row>
    <row r="183" spans="7:16">
      <c r="G183" s="261"/>
      <c r="H183" s="262"/>
      <c r="P183" s="40">
        <f t="shared" si="8"/>
        <v>232211.68</v>
      </c>
    </row>
    <row r="184" spans="7:16">
      <c r="G184" s="261"/>
      <c r="H184" s="262"/>
      <c r="P184" s="40">
        <f t="shared" si="8"/>
        <v>232211.68</v>
      </c>
    </row>
    <row r="185" spans="7:16">
      <c r="G185" s="261"/>
      <c r="H185" s="262"/>
      <c r="P185" s="40">
        <f t="shared" si="8"/>
        <v>232211.68</v>
      </c>
    </row>
    <row r="186" spans="7:16">
      <c r="G186" s="261"/>
      <c r="H186" s="262"/>
      <c r="P186" s="40">
        <f t="shared" si="8"/>
        <v>232211.68</v>
      </c>
    </row>
    <row r="187" spans="7:16">
      <c r="G187" s="261"/>
      <c r="H187" s="262"/>
      <c r="P187" s="40">
        <f t="shared" si="8"/>
        <v>232211.68</v>
      </c>
    </row>
    <row r="188" spans="7:16">
      <c r="G188" s="261"/>
      <c r="H188" s="262"/>
      <c r="P188" s="40">
        <f t="shared" si="8"/>
        <v>232211.68</v>
      </c>
    </row>
    <row r="189" spans="7:16">
      <c r="G189" s="261"/>
      <c r="H189" s="262"/>
      <c r="P189" s="40">
        <f t="shared" si="8"/>
        <v>232211.68</v>
      </c>
    </row>
    <row r="190" spans="7:16">
      <c r="G190" s="261"/>
      <c r="H190" s="262"/>
      <c r="P190" s="40">
        <f t="shared" si="8"/>
        <v>232211.68</v>
      </c>
    </row>
    <row r="191" spans="7:16">
      <c r="G191" s="261"/>
      <c r="H191" s="262"/>
      <c r="P191" s="40">
        <f t="shared" si="8"/>
        <v>232211.68</v>
      </c>
    </row>
    <row r="192" spans="7:16">
      <c r="G192" s="261"/>
      <c r="H192" s="262"/>
      <c r="P192" s="40">
        <f t="shared" si="8"/>
        <v>232211.68</v>
      </c>
    </row>
    <row r="193" spans="7:16">
      <c r="G193" s="261"/>
      <c r="H193" s="262"/>
      <c r="P193" s="40">
        <f t="shared" si="8"/>
        <v>232211.68</v>
      </c>
    </row>
    <row r="194" spans="7:16">
      <c r="G194" s="261"/>
      <c r="H194" s="262"/>
      <c r="P194" s="40">
        <f t="shared" si="8"/>
        <v>232211.68</v>
      </c>
    </row>
    <row r="195" spans="7:16">
      <c r="G195" s="261"/>
      <c r="H195" s="262"/>
      <c r="P195" s="40">
        <f t="shared" si="8"/>
        <v>232211.68</v>
      </c>
    </row>
    <row r="196" spans="7:16">
      <c r="G196" s="261"/>
      <c r="H196" s="262"/>
      <c r="P196" s="40">
        <f t="shared" si="8"/>
        <v>232211.68</v>
      </c>
    </row>
    <row r="197" spans="7:16">
      <c r="G197" s="261"/>
      <c r="H197" s="262"/>
      <c r="P197" s="40">
        <f t="shared" si="8"/>
        <v>232211.68</v>
      </c>
    </row>
    <row r="198" spans="7:16">
      <c r="G198" s="261"/>
      <c r="H198" s="262"/>
      <c r="P198" s="40">
        <f t="shared" si="8"/>
        <v>232211.68</v>
      </c>
    </row>
    <row r="199" spans="7:16">
      <c r="G199" s="261"/>
      <c r="H199" s="262"/>
      <c r="P199" s="40">
        <f t="shared" si="8"/>
        <v>232211.68</v>
      </c>
    </row>
    <row r="200" spans="7:16">
      <c r="G200" s="261"/>
      <c r="H200" s="262"/>
      <c r="P200" s="40">
        <f t="shared" si="8"/>
        <v>232211.68</v>
      </c>
    </row>
    <row r="201" spans="7:16">
      <c r="P201" s="40">
        <f t="shared" ref="P201" si="9">$P$9</f>
        <v>232211.68</v>
      </c>
    </row>
  </sheetData>
  <autoFilter ref="A8:F200">
    <sortState ref="A9:F200">
      <sortCondition descending="1" ref="F8"/>
    </sortState>
  </autoFilter>
  <mergeCells count="12">
    <mergeCell ref="I9:I26"/>
    <mergeCell ref="I27:I66"/>
    <mergeCell ref="I67:I136"/>
    <mergeCell ref="A2:I2"/>
    <mergeCell ref="A4:I4"/>
    <mergeCell ref="E6:F6"/>
    <mergeCell ref="A6:A7"/>
    <mergeCell ref="B6:B7"/>
    <mergeCell ref="C6:C7"/>
    <mergeCell ref="D6:D7"/>
    <mergeCell ref="G6:G7"/>
    <mergeCell ref="H6:H7"/>
  </mergeCells>
  <pageMargins left="0.51180555555555596" right="0.51180555555555596" top="0.78680555555555598" bottom="0.78680555555555598" header="0.31388888888888899" footer="0.31388888888888899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O303"/>
  <sheetViews>
    <sheetView view="pageBreakPreview" topLeftCell="A118" zoomScaleNormal="90" zoomScaleSheetLayoutView="100" workbookViewId="0">
      <selection activeCell="H27" sqref="H27:H28"/>
    </sheetView>
  </sheetViews>
  <sheetFormatPr defaultColWidth="9.140625" defaultRowHeight="15"/>
  <cols>
    <col min="1" max="1" width="35.5703125" style="158" customWidth="1"/>
    <col min="2" max="2" width="12" style="158" customWidth="1"/>
    <col min="3" max="3" width="11.7109375" style="158" customWidth="1"/>
    <col min="4" max="4" width="10.5703125" style="158" customWidth="1"/>
    <col min="5" max="5" width="10.7109375" style="158" customWidth="1"/>
    <col min="6" max="6" width="12.5703125" style="158" customWidth="1"/>
    <col min="7" max="7" width="9.140625" style="158" customWidth="1"/>
    <col min="8" max="16384" width="9.140625" style="99"/>
  </cols>
  <sheetData>
    <row r="1" spans="1:8">
      <c r="A1" s="415" t="s">
        <v>421</v>
      </c>
      <c r="B1" s="416"/>
      <c r="C1" s="416"/>
      <c r="D1" s="416"/>
      <c r="E1" s="416"/>
      <c r="F1" s="416"/>
      <c r="G1" s="417"/>
      <c r="H1" s="159"/>
    </row>
    <row r="2" spans="1:8" ht="4.5" customHeight="1">
      <c r="A2" s="100"/>
      <c r="B2" s="100"/>
      <c r="C2" s="100"/>
      <c r="D2" s="100"/>
      <c r="E2" s="100"/>
      <c r="F2" s="100"/>
      <c r="G2" s="100"/>
    </row>
    <row r="3" spans="1:8" ht="24" customHeight="1">
      <c r="A3" s="418" t="str">
        <f>'PB III - Planilha Orçamentaria'!A4:G4</f>
        <v>OBRA: REFORMA DA SEDE DA DEFENSORIA PÚBLICA DO ESTADO DE RORAIMA NO MUNICIPIO DE SÃO LUIZ DO ANAUA - DPE/RR</v>
      </c>
      <c r="B3" s="397"/>
      <c r="C3" s="397"/>
      <c r="D3" s="397"/>
      <c r="E3" s="397"/>
      <c r="F3" s="397"/>
      <c r="G3" s="398"/>
    </row>
    <row r="4" spans="1:8" ht="4.5" customHeight="1">
      <c r="A4" s="100"/>
      <c r="B4" s="100"/>
      <c r="C4" s="100"/>
      <c r="D4" s="100"/>
      <c r="E4" s="100"/>
      <c r="F4" s="100"/>
      <c r="G4" s="100"/>
    </row>
    <row r="5" spans="1:8">
      <c r="A5" s="463" t="str">
        <f>'PB III - Planilha Orçamentaria'!A6:G6</f>
        <v>ENDEREÇO: Av. Joao Rodrigues com Rua Dante de Oliveira, Cidade: São Luiz do Anaua/RR</v>
      </c>
      <c r="B5" s="400"/>
      <c r="C5" s="400"/>
      <c r="D5" s="400"/>
      <c r="E5" s="400"/>
      <c r="F5" s="400"/>
      <c r="G5" s="401"/>
    </row>
    <row r="6" spans="1:8" ht="4.3499999999999996" customHeight="1">
      <c r="A6" s="160"/>
      <c r="B6" s="160"/>
      <c r="C6" s="160"/>
      <c r="D6" s="160"/>
      <c r="E6" s="160"/>
      <c r="F6" s="160"/>
      <c r="G6" s="160"/>
    </row>
    <row r="7" spans="1:8">
      <c r="A7" s="464" t="s">
        <v>422</v>
      </c>
      <c r="B7" s="465"/>
      <c r="C7" s="465"/>
      <c r="D7" s="465"/>
      <c r="E7" s="465"/>
      <c r="F7" s="465"/>
      <c r="G7" s="466"/>
    </row>
    <row r="8" spans="1:8">
      <c r="A8" s="161" t="s">
        <v>423</v>
      </c>
      <c r="B8" s="162"/>
      <c r="C8" s="162"/>
      <c r="D8" s="162"/>
      <c r="E8" s="162"/>
      <c r="F8" s="162"/>
      <c r="G8" s="163" t="s">
        <v>424</v>
      </c>
    </row>
    <row r="9" spans="1:8">
      <c r="A9" s="164" t="s">
        <v>425</v>
      </c>
      <c r="B9" s="165"/>
      <c r="C9" s="165"/>
      <c r="D9" s="165"/>
      <c r="E9" s="165"/>
      <c r="F9" s="165"/>
      <c r="G9" s="165">
        <v>199.39</v>
      </c>
    </row>
    <row r="10" spans="1:8">
      <c r="A10" s="164" t="s">
        <v>426</v>
      </c>
      <c r="B10" s="165"/>
      <c r="C10" s="165"/>
      <c r="D10" s="165"/>
      <c r="E10" s="165"/>
      <c r="F10" s="165"/>
      <c r="G10" s="165">
        <v>918</v>
      </c>
    </row>
    <row r="11" spans="1:8">
      <c r="A11" s="164" t="s">
        <v>427</v>
      </c>
      <c r="B11" s="165"/>
      <c r="C11" s="165"/>
      <c r="D11" s="165"/>
      <c r="E11" s="165"/>
      <c r="F11" s="165"/>
      <c r="G11" s="165">
        <v>244</v>
      </c>
    </row>
    <row r="12" spans="1:8">
      <c r="A12" s="164" t="s">
        <v>428</v>
      </c>
      <c r="B12" s="165"/>
      <c r="C12" s="165"/>
      <c r="D12" s="165"/>
      <c r="E12" s="165"/>
      <c r="F12" s="165"/>
      <c r="G12" s="165">
        <f>G43</f>
        <v>180.05</v>
      </c>
    </row>
    <row r="13" spans="1:8">
      <c r="A13" s="467"/>
      <c r="B13" s="468"/>
      <c r="C13" s="468"/>
      <c r="D13" s="468"/>
      <c r="E13" s="468"/>
      <c r="F13" s="468"/>
      <c r="G13" s="469"/>
    </row>
    <row r="14" spans="1:8">
      <c r="A14" s="160"/>
      <c r="B14" s="160"/>
      <c r="C14" s="160"/>
      <c r="D14" s="160"/>
      <c r="E14" s="160"/>
      <c r="F14" s="160"/>
      <c r="G14" s="160"/>
    </row>
    <row r="15" spans="1:8">
      <c r="A15" s="464" t="s">
        <v>429</v>
      </c>
      <c r="B15" s="465"/>
      <c r="C15" s="465"/>
      <c r="D15" s="465"/>
      <c r="E15" s="465"/>
      <c r="F15" s="465"/>
      <c r="G15" s="466"/>
    </row>
    <row r="16" spans="1:8">
      <c r="A16" s="161" t="s">
        <v>423</v>
      </c>
      <c r="B16" s="162"/>
      <c r="C16" s="162"/>
      <c r="D16" s="162" t="s">
        <v>430</v>
      </c>
      <c r="E16" s="162" t="s">
        <v>431</v>
      </c>
      <c r="F16" s="162"/>
      <c r="G16" s="163" t="s">
        <v>366</v>
      </c>
    </row>
    <row r="17" spans="1:7">
      <c r="A17" s="164" t="s">
        <v>432</v>
      </c>
      <c r="B17" s="165"/>
      <c r="C17" s="165"/>
      <c r="D17" s="165">
        <v>1.8</v>
      </c>
      <c r="E17" s="165">
        <v>2.88</v>
      </c>
      <c r="F17" s="165"/>
      <c r="G17" s="165">
        <v>5.18</v>
      </c>
    </row>
    <row r="18" spans="1:7">
      <c r="A18" s="164" t="s">
        <v>433</v>
      </c>
      <c r="B18" s="165"/>
      <c r="C18" s="165"/>
      <c r="D18" s="165">
        <v>3</v>
      </c>
      <c r="E18" s="165">
        <v>5</v>
      </c>
      <c r="F18" s="165"/>
      <c r="G18" s="165">
        <f t="shared" ref="G18:G20" si="0">D18*E18</f>
        <v>15</v>
      </c>
    </row>
    <row r="19" spans="1:7">
      <c r="A19" s="164" t="s">
        <v>434</v>
      </c>
      <c r="B19" s="165"/>
      <c r="C19" s="165"/>
      <c r="D19" s="165">
        <v>3</v>
      </c>
      <c r="E19" s="165">
        <v>4</v>
      </c>
      <c r="F19" s="165"/>
      <c r="G19" s="165">
        <f t="shared" si="0"/>
        <v>12</v>
      </c>
    </row>
    <row r="20" spans="1:7">
      <c r="A20" s="164" t="s">
        <v>435</v>
      </c>
      <c r="B20" s="165"/>
      <c r="C20" s="165"/>
      <c r="D20" s="165">
        <v>3</v>
      </c>
      <c r="E20" s="165">
        <v>5</v>
      </c>
      <c r="F20" s="165"/>
      <c r="G20" s="165">
        <f t="shared" si="0"/>
        <v>15</v>
      </c>
    </row>
    <row r="21" spans="1:7">
      <c r="A21" s="164"/>
      <c r="B21" s="165"/>
      <c r="C21" s="165"/>
      <c r="D21" s="165"/>
      <c r="E21" s="165"/>
      <c r="F21" s="165"/>
      <c r="G21" s="165"/>
    </row>
    <row r="22" spans="1:7">
      <c r="A22" s="467"/>
      <c r="B22" s="468"/>
      <c r="C22" s="468"/>
      <c r="D22" s="468"/>
      <c r="E22" s="468"/>
      <c r="F22" s="468"/>
      <c r="G22" s="469"/>
    </row>
    <row r="23" spans="1:7">
      <c r="A23" s="166"/>
      <c r="B23" s="166"/>
      <c r="C23" s="166"/>
      <c r="D23" s="166"/>
      <c r="E23" s="166"/>
      <c r="F23" s="166"/>
      <c r="G23" s="166"/>
    </row>
    <row r="24" spans="1:7">
      <c r="A24" s="464" t="s">
        <v>436</v>
      </c>
      <c r="B24" s="465"/>
      <c r="C24" s="465"/>
      <c r="D24" s="465"/>
      <c r="E24" s="465"/>
      <c r="F24" s="465"/>
      <c r="G24" s="466"/>
    </row>
    <row r="25" spans="1:7">
      <c r="A25" s="470" t="s">
        <v>423</v>
      </c>
      <c r="B25" s="471"/>
      <c r="C25" s="162"/>
      <c r="D25" s="162"/>
      <c r="E25" s="162"/>
      <c r="F25" s="162" t="s">
        <v>424</v>
      </c>
      <c r="G25" s="163" t="s">
        <v>366</v>
      </c>
    </row>
    <row r="26" spans="1:7">
      <c r="A26" s="472" t="s">
        <v>437</v>
      </c>
      <c r="B26" s="473"/>
      <c r="C26" s="165"/>
      <c r="D26" s="165"/>
      <c r="E26" s="165"/>
      <c r="F26" s="165"/>
      <c r="G26" s="165"/>
    </row>
    <row r="27" spans="1:7">
      <c r="A27" s="474" t="s">
        <v>438</v>
      </c>
      <c r="B27" s="474"/>
      <c r="C27" s="164"/>
      <c r="D27" s="164"/>
      <c r="E27" s="164"/>
      <c r="F27" s="165">
        <v>15.77</v>
      </c>
      <c r="G27" s="167">
        <f>F27</f>
        <v>15.77</v>
      </c>
    </row>
    <row r="28" spans="1:7">
      <c r="A28" s="475" t="s">
        <v>439</v>
      </c>
      <c r="B28" s="476"/>
      <c r="C28" s="164"/>
      <c r="D28" s="164"/>
      <c r="E28" s="164"/>
      <c r="F28" s="165">
        <v>2.6</v>
      </c>
      <c r="G28" s="167">
        <f t="shared" ref="G28:G42" si="1">F28</f>
        <v>2.6</v>
      </c>
    </row>
    <row r="29" spans="1:7">
      <c r="A29" s="477" t="s">
        <v>440</v>
      </c>
      <c r="B29" s="478"/>
      <c r="C29" s="164"/>
      <c r="D29" s="164"/>
      <c r="E29" s="164"/>
      <c r="F29" s="165">
        <v>7.22</v>
      </c>
      <c r="G29" s="167">
        <f t="shared" si="1"/>
        <v>7.22</v>
      </c>
    </row>
    <row r="30" spans="1:7">
      <c r="A30" s="477" t="s">
        <v>441</v>
      </c>
      <c r="B30" s="478"/>
      <c r="C30" s="164"/>
      <c r="D30" s="164"/>
      <c r="E30" s="164"/>
      <c r="F30" s="165">
        <v>15.77</v>
      </c>
      <c r="G30" s="167">
        <f t="shared" si="1"/>
        <v>15.77</v>
      </c>
    </row>
    <row r="31" spans="1:7">
      <c r="A31" s="477" t="s">
        <v>442</v>
      </c>
      <c r="B31" s="478"/>
      <c r="C31" s="164"/>
      <c r="D31" s="164"/>
      <c r="E31" s="164"/>
      <c r="F31" s="165">
        <v>2.6</v>
      </c>
      <c r="G31" s="167">
        <f t="shared" si="1"/>
        <v>2.6</v>
      </c>
    </row>
    <row r="32" spans="1:7">
      <c r="A32" s="477" t="s">
        <v>443</v>
      </c>
      <c r="B32" s="478"/>
      <c r="C32" s="164"/>
      <c r="D32" s="164"/>
      <c r="E32" s="164"/>
      <c r="F32" s="165">
        <v>7.22</v>
      </c>
      <c r="G32" s="167">
        <f t="shared" si="1"/>
        <v>7.22</v>
      </c>
    </row>
    <row r="33" spans="1:7">
      <c r="A33" s="477" t="s">
        <v>444</v>
      </c>
      <c r="B33" s="478"/>
      <c r="C33" s="164"/>
      <c r="D33" s="164"/>
      <c r="E33" s="164"/>
      <c r="F33" s="165">
        <v>13</v>
      </c>
      <c r="G33" s="167">
        <f t="shared" si="1"/>
        <v>13</v>
      </c>
    </row>
    <row r="34" spans="1:7">
      <c r="A34" s="477" t="s">
        <v>445</v>
      </c>
      <c r="B34" s="478"/>
      <c r="C34" s="164"/>
      <c r="D34" s="164"/>
      <c r="E34" s="164"/>
      <c r="F34" s="165">
        <v>2.81</v>
      </c>
      <c r="G34" s="167">
        <f t="shared" si="1"/>
        <v>2.81</v>
      </c>
    </row>
    <row r="35" spans="1:7">
      <c r="A35" s="477" t="s">
        <v>446</v>
      </c>
      <c r="B35" s="478"/>
      <c r="C35" s="164"/>
      <c r="D35" s="164"/>
      <c r="E35" s="164"/>
      <c r="F35" s="165">
        <v>10.83</v>
      </c>
      <c r="G35" s="167">
        <f t="shared" si="1"/>
        <v>10.83</v>
      </c>
    </row>
    <row r="36" spans="1:7">
      <c r="A36" s="477" t="s">
        <v>447</v>
      </c>
      <c r="B36" s="478"/>
      <c r="C36" s="164"/>
      <c r="D36" s="164"/>
      <c r="E36" s="164"/>
      <c r="F36" s="165">
        <v>16.8</v>
      </c>
      <c r="G36" s="167">
        <f t="shared" si="1"/>
        <v>16.8</v>
      </c>
    </row>
    <row r="37" spans="1:7">
      <c r="A37" s="477" t="s">
        <v>448</v>
      </c>
      <c r="B37" s="478"/>
      <c r="C37" s="164"/>
      <c r="D37" s="164"/>
      <c r="E37" s="164"/>
      <c r="F37" s="165">
        <v>48.97</v>
      </c>
      <c r="G37" s="167">
        <f t="shared" si="1"/>
        <v>48.97</v>
      </c>
    </row>
    <row r="38" spans="1:7">
      <c r="A38" s="477" t="s">
        <v>449</v>
      </c>
      <c r="B38" s="478"/>
      <c r="C38" s="164"/>
      <c r="D38" s="164"/>
      <c r="E38" s="164"/>
      <c r="F38" s="165">
        <v>6.38</v>
      </c>
      <c r="G38" s="167">
        <f t="shared" si="1"/>
        <v>6.38</v>
      </c>
    </row>
    <row r="39" spans="1:7">
      <c r="A39" s="477" t="s">
        <v>450</v>
      </c>
      <c r="B39" s="478"/>
      <c r="C39" s="164"/>
      <c r="D39" s="164"/>
      <c r="E39" s="164"/>
      <c r="F39" s="165">
        <v>7.37</v>
      </c>
      <c r="G39" s="167">
        <f t="shared" si="1"/>
        <v>7.37</v>
      </c>
    </row>
    <row r="40" spans="1:7">
      <c r="A40" s="477" t="s">
        <v>451</v>
      </c>
      <c r="B40" s="478"/>
      <c r="C40" s="164"/>
      <c r="D40" s="164"/>
      <c r="E40" s="164"/>
      <c r="F40" s="165">
        <v>5.74</v>
      </c>
      <c r="G40" s="167">
        <f t="shared" si="1"/>
        <v>5.74</v>
      </c>
    </row>
    <row r="41" spans="1:7">
      <c r="A41" s="169" t="s">
        <v>452</v>
      </c>
      <c r="B41" s="170"/>
      <c r="C41" s="164"/>
      <c r="D41" s="164"/>
      <c r="E41" s="164"/>
      <c r="F41" s="165">
        <v>3.37</v>
      </c>
      <c r="G41" s="167">
        <f t="shared" si="1"/>
        <v>3.37</v>
      </c>
    </row>
    <row r="42" spans="1:7">
      <c r="A42" s="477" t="s">
        <v>453</v>
      </c>
      <c r="B42" s="478"/>
      <c r="C42" s="164"/>
      <c r="D42" s="164"/>
      <c r="E42" s="164"/>
      <c r="F42" s="165">
        <v>13.6</v>
      </c>
      <c r="G42" s="167">
        <f t="shared" si="1"/>
        <v>13.6</v>
      </c>
    </row>
    <row r="43" spans="1:7">
      <c r="A43" s="479"/>
      <c r="B43" s="480"/>
      <c r="C43" s="480"/>
      <c r="D43" s="481"/>
      <c r="E43" s="467" t="s">
        <v>366</v>
      </c>
      <c r="F43" s="469"/>
      <c r="G43" s="173">
        <f>SUM(G27:G42)</f>
        <v>180.05</v>
      </c>
    </row>
    <row r="44" spans="1:7">
      <c r="A44" s="479"/>
      <c r="B44" s="480"/>
      <c r="C44" s="480"/>
      <c r="D44" s="480"/>
      <c r="E44" s="480"/>
      <c r="F44" s="480"/>
      <c r="G44" s="481"/>
    </row>
    <row r="45" spans="1:7" ht="22.5" customHeight="1">
      <c r="A45" s="174" t="s">
        <v>454</v>
      </c>
      <c r="B45" s="165"/>
      <c r="C45" s="175" t="s">
        <v>431</v>
      </c>
      <c r="D45" s="175" t="s">
        <v>455</v>
      </c>
      <c r="E45" s="482" t="s">
        <v>456</v>
      </c>
      <c r="F45" s="483"/>
      <c r="G45" s="175" t="s">
        <v>366</v>
      </c>
    </row>
    <row r="46" spans="1:7">
      <c r="A46" s="164" t="s">
        <v>457</v>
      </c>
      <c r="B46" s="165"/>
      <c r="C46" s="165">
        <v>1.8</v>
      </c>
      <c r="D46" s="165">
        <v>0.15</v>
      </c>
      <c r="E46" s="484">
        <f>1.3+2.25</f>
        <v>3.55</v>
      </c>
      <c r="F46" s="484"/>
      <c r="G46" s="165">
        <f>C46*D46*E46</f>
        <v>0.95850000000000002</v>
      </c>
    </row>
    <row r="47" spans="1:7">
      <c r="A47" s="164" t="s">
        <v>458</v>
      </c>
      <c r="B47" s="165"/>
      <c r="C47" s="165">
        <v>1.8</v>
      </c>
      <c r="D47" s="165">
        <v>0.15</v>
      </c>
      <c r="E47" s="484">
        <f>1.3+2.25</f>
        <v>3.55</v>
      </c>
      <c r="F47" s="484"/>
      <c r="G47" s="165">
        <f>C47*D47*E47</f>
        <v>0.95850000000000002</v>
      </c>
    </row>
    <row r="48" spans="1:7">
      <c r="A48" s="164" t="s">
        <v>459</v>
      </c>
      <c r="B48" s="165"/>
      <c r="C48" s="165">
        <v>0.7</v>
      </c>
      <c r="D48" s="165">
        <v>0.15</v>
      </c>
      <c r="E48" s="484">
        <v>0.7</v>
      </c>
      <c r="F48" s="484"/>
      <c r="G48" s="165">
        <f>C48*D48*E48</f>
        <v>7.3499999999999996E-2</v>
      </c>
    </row>
    <row r="49" spans="1:7">
      <c r="A49" s="479"/>
      <c r="B49" s="480"/>
      <c r="C49" s="480"/>
      <c r="D49" s="481"/>
      <c r="E49" s="467" t="s">
        <v>366</v>
      </c>
      <c r="F49" s="469"/>
      <c r="G49" s="173">
        <f>ROUND(SUM(G46:G48),2)</f>
        <v>1.99</v>
      </c>
    </row>
    <row r="50" spans="1:7">
      <c r="A50" s="479"/>
      <c r="B50" s="480"/>
      <c r="C50" s="480"/>
      <c r="D50" s="480"/>
      <c r="E50" s="480"/>
      <c r="F50" s="480"/>
      <c r="G50" s="481"/>
    </row>
    <row r="51" spans="1:7">
      <c r="A51" s="485" t="s">
        <v>460</v>
      </c>
      <c r="B51" s="486"/>
      <c r="C51" s="165"/>
      <c r="D51" s="175"/>
      <c r="E51" s="175" t="s">
        <v>461</v>
      </c>
      <c r="F51" s="175" t="s">
        <v>462</v>
      </c>
      <c r="G51" s="175" t="s">
        <v>463</v>
      </c>
    </row>
    <row r="52" spans="1:7">
      <c r="A52" s="164" t="s">
        <v>464</v>
      </c>
      <c r="B52" s="165"/>
      <c r="C52" s="165"/>
      <c r="D52" s="165"/>
      <c r="E52" s="165"/>
      <c r="F52" s="165">
        <v>1</v>
      </c>
      <c r="G52" s="165">
        <v>1</v>
      </c>
    </row>
    <row r="53" spans="1:7">
      <c r="A53" s="164" t="s">
        <v>465</v>
      </c>
      <c r="B53" s="165"/>
      <c r="C53" s="165"/>
      <c r="D53" s="165"/>
      <c r="E53" s="165"/>
      <c r="F53" s="165">
        <v>1</v>
      </c>
      <c r="G53" s="165">
        <v>1</v>
      </c>
    </row>
    <row r="54" spans="1:7">
      <c r="A54" s="164" t="s">
        <v>466</v>
      </c>
      <c r="B54" s="165"/>
      <c r="C54" s="165"/>
      <c r="D54" s="165"/>
      <c r="E54" s="165"/>
      <c r="F54" s="165">
        <v>1</v>
      </c>
      <c r="G54" s="165">
        <v>1</v>
      </c>
    </row>
    <row r="55" spans="1:7">
      <c r="A55" s="164" t="s">
        <v>467</v>
      </c>
      <c r="B55" s="165"/>
      <c r="C55" s="165"/>
      <c r="D55" s="165"/>
      <c r="E55" s="165"/>
      <c r="F55" s="165">
        <v>2</v>
      </c>
      <c r="G55" s="165">
        <v>2</v>
      </c>
    </row>
    <row r="56" spans="1:7">
      <c r="A56" s="164" t="s">
        <v>468</v>
      </c>
      <c r="B56" s="165"/>
      <c r="C56" s="165"/>
      <c r="D56" s="165"/>
      <c r="E56" s="165">
        <v>2</v>
      </c>
      <c r="F56" s="165">
        <v>2</v>
      </c>
      <c r="G56" s="165">
        <v>2</v>
      </c>
    </row>
    <row r="57" spans="1:7">
      <c r="C57" s="467" t="s">
        <v>366</v>
      </c>
      <c r="D57" s="469"/>
      <c r="E57" s="173">
        <f>SUM(E52:E56)</f>
        <v>2</v>
      </c>
      <c r="F57" s="173">
        <f>SUM(F52:F56)</f>
        <v>7</v>
      </c>
      <c r="G57" s="173">
        <f>SUM(G52:G56)</f>
        <v>7</v>
      </c>
    </row>
    <row r="58" spans="1:7">
      <c r="A58" s="479"/>
      <c r="B58" s="480"/>
      <c r="C58" s="480"/>
      <c r="D58" s="480"/>
      <c r="E58" s="480"/>
      <c r="F58" s="480"/>
      <c r="G58" s="481"/>
    </row>
    <row r="59" spans="1:7">
      <c r="A59" s="485" t="s">
        <v>469</v>
      </c>
      <c r="B59" s="486"/>
      <c r="C59" s="165"/>
      <c r="D59" s="99"/>
      <c r="E59" s="177"/>
      <c r="F59" s="165" t="s">
        <v>470</v>
      </c>
      <c r="G59" s="165" t="s">
        <v>471</v>
      </c>
    </row>
    <row r="60" spans="1:7">
      <c r="A60" s="164" t="s">
        <v>472</v>
      </c>
      <c r="B60" s="165"/>
      <c r="C60" s="165"/>
      <c r="D60" s="165"/>
      <c r="E60" s="165">
        <v>4.2</v>
      </c>
      <c r="F60" s="165">
        <v>19</v>
      </c>
      <c r="G60" s="165">
        <f>E60*F60</f>
        <v>79.8</v>
      </c>
    </row>
    <row r="61" spans="1:7">
      <c r="A61" s="164" t="s">
        <v>473</v>
      </c>
      <c r="B61" s="165"/>
      <c r="C61" s="178"/>
      <c r="D61" s="179"/>
      <c r="E61" s="165">
        <f t="shared" ref="E61:E64" si="2">12.6/3</f>
        <v>4.2</v>
      </c>
      <c r="F61" s="165">
        <v>22</v>
      </c>
      <c r="G61" s="165">
        <f t="shared" ref="G61:G64" si="3">E61*F61</f>
        <v>92.4</v>
      </c>
    </row>
    <row r="62" spans="1:7">
      <c r="A62" s="164" t="s">
        <v>474</v>
      </c>
      <c r="B62" s="165"/>
      <c r="C62" s="165"/>
      <c r="D62" s="179"/>
      <c r="E62" s="165">
        <f t="shared" si="2"/>
        <v>4.2</v>
      </c>
      <c r="F62" s="165">
        <v>20</v>
      </c>
      <c r="G62" s="165">
        <f t="shared" si="3"/>
        <v>84</v>
      </c>
    </row>
    <row r="63" spans="1:7">
      <c r="A63" s="164" t="s">
        <v>475</v>
      </c>
      <c r="B63" s="165"/>
      <c r="C63" s="165"/>
      <c r="D63" s="179"/>
      <c r="E63" s="165">
        <f t="shared" si="2"/>
        <v>4.2</v>
      </c>
      <c r="F63" s="165">
        <v>3</v>
      </c>
      <c r="G63" s="165">
        <f t="shared" si="3"/>
        <v>12.6</v>
      </c>
    </row>
    <row r="64" spans="1:7">
      <c r="A64" s="164" t="s">
        <v>476</v>
      </c>
      <c r="B64" s="165"/>
      <c r="C64" s="165"/>
      <c r="D64" s="179"/>
      <c r="E64" s="165">
        <f t="shared" si="2"/>
        <v>4.2</v>
      </c>
      <c r="F64" s="165">
        <v>14</v>
      </c>
      <c r="G64" s="165">
        <f t="shared" si="3"/>
        <v>58.8</v>
      </c>
    </row>
    <row r="65" spans="1:7">
      <c r="A65" s="479"/>
      <c r="B65" s="480"/>
      <c r="C65" s="480"/>
      <c r="D65" s="481"/>
      <c r="E65" s="467" t="s">
        <v>366</v>
      </c>
      <c r="F65" s="469"/>
      <c r="G65" s="173">
        <f>SUM(G60:G64)</f>
        <v>327.60000000000002</v>
      </c>
    </row>
    <row r="66" spans="1:7" ht="13.5" customHeight="1">
      <c r="A66" s="479"/>
      <c r="B66" s="480"/>
      <c r="C66" s="480"/>
      <c r="D66" s="480"/>
      <c r="E66" s="480"/>
      <c r="F66" s="480"/>
      <c r="G66" s="481"/>
    </row>
    <row r="67" spans="1:7" ht="13.5" customHeight="1">
      <c r="A67" s="485" t="s">
        <v>477</v>
      </c>
      <c r="B67" s="486"/>
      <c r="C67" s="165"/>
      <c r="D67" s="99"/>
      <c r="E67" s="177"/>
      <c r="F67" s="177"/>
      <c r="G67" s="165" t="s">
        <v>470</v>
      </c>
    </row>
    <row r="68" spans="1:7" ht="13.5" customHeight="1">
      <c r="A68" s="164" t="s">
        <v>472</v>
      </c>
      <c r="B68" s="165"/>
      <c r="C68" s="165"/>
      <c r="D68" s="165"/>
      <c r="E68" s="165"/>
      <c r="F68" s="165"/>
      <c r="G68" s="165">
        <v>19</v>
      </c>
    </row>
    <row r="69" spans="1:7" ht="13.5" customHeight="1">
      <c r="A69" s="164" t="s">
        <v>473</v>
      </c>
      <c r="B69" s="165"/>
      <c r="C69" s="165"/>
      <c r="D69" s="165"/>
      <c r="E69" s="165"/>
      <c r="F69" s="165"/>
      <c r="G69" s="165">
        <v>22</v>
      </c>
    </row>
    <row r="70" spans="1:7" ht="13.5" customHeight="1">
      <c r="A70" s="164" t="s">
        <v>474</v>
      </c>
      <c r="B70" s="165"/>
      <c r="C70" s="165"/>
      <c r="D70" s="165"/>
      <c r="E70" s="165"/>
      <c r="F70" s="165"/>
      <c r="G70" s="165">
        <v>20</v>
      </c>
    </row>
    <row r="71" spans="1:7" ht="13.5" customHeight="1">
      <c r="A71" s="164" t="s">
        <v>475</v>
      </c>
      <c r="B71" s="165"/>
      <c r="C71" s="165"/>
      <c r="D71" s="165"/>
      <c r="E71" s="165"/>
      <c r="F71" s="165"/>
      <c r="G71" s="165">
        <v>3</v>
      </c>
    </row>
    <row r="72" spans="1:7" ht="13.5" customHeight="1">
      <c r="A72" s="164" t="s">
        <v>476</v>
      </c>
      <c r="B72" s="165"/>
      <c r="C72" s="165"/>
      <c r="D72" s="165"/>
      <c r="E72" s="165"/>
      <c r="F72" s="165"/>
      <c r="G72" s="165">
        <v>14</v>
      </c>
    </row>
    <row r="73" spans="1:7" ht="13.5" customHeight="1">
      <c r="A73" s="479"/>
      <c r="B73" s="480"/>
      <c r="C73" s="480"/>
      <c r="D73" s="481"/>
      <c r="E73" s="467" t="s">
        <v>366</v>
      </c>
      <c r="F73" s="469"/>
      <c r="G73" s="173">
        <f>SUM(G68:G72)</f>
        <v>78</v>
      </c>
    </row>
    <row r="74" spans="1:7" ht="13.5" customHeight="1">
      <c r="A74" s="479"/>
      <c r="B74" s="480"/>
      <c r="C74" s="480"/>
      <c r="D74" s="480"/>
      <c r="E74" s="480"/>
      <c r="F74" s="480"/>
      <c r="G74" s="481"/>
    </row>
    <row r="75" spans="1:7" ht="22.5">
      <c r="A75" s="485" t="s">
        <v>478</v>
      </c>
      <c r="B75" s="486"/>
      <c r="C75" s="165"/>
      <c r="D75" s="99"/>
      <c r="E75" s="177" t="s">
        <v>431</v>
      </c>
      <c r="F75" s="165" t="s">
        <v>456</v>
      </c>
      <c r="G75" s="165" t="s">
        <v>426</v>
      </c>
    </row>
    <row r="76" spans="1:7">
      <c r="A76" s="164" t="s">
        <v>459</v>
      </c>
      <c r="B76" s="165"/>
      <c r="C76" s="165"/>
      <c r="D76" s="165"/>
      <c r="E76" s="165">
        <v>0.9</v>
      </c>
      <c r="F76" s="165">
        <v>2.5499999999999998</v>
      </c>
      <c r="G76" s="165">
        <f>E76*F76</f>
        <v>2.2949999999999999</v>
      </c>
    </row>
    <row r="77" spans="1:7">
      <c r="A77" s="479"/>
      <c r="B77" s="480"/>
      <c r="C77" s="480"/>
      <c r="D77" s="481"/>
      <c r="E77" s="467" t="s">
        <v>366</v>
      </c>
      <c r="F77" s="469"/>
      <c r="G77" s="173">
        <f>SUM(G75:G76)</f>
        <v>2.2949999999999999</v>
      </c>
    </row>
    <row r="78" spans="1:7">
      <c r="A78" s="467"/>
      <c r="B78" s="468"/>
      <c r="C78" s="468"/>
      <c r="D78" s="468"/>
      <c r="E78" s="468"/>
      <c r="F78" s="468"/>
      <c r="G78" s="469"/>
    </row>
    <row r="79" spans="1:7" ht="10.5" customHeight="1">
      <c r="A79" s="166"/>
      <c r="B79" s="166"/>
      <c r="C79" s="166"/>
      <c r="D79" s="166"/>
      <c r="E79" s="166"/>
      <c r="F79" s="166"/>
      <c r="G79" s="166"/>
    </row>
    <row r="80" spans="1:7">
      <c r="A80" s="464" t="s">
        <v>479</v>
      </c>
      <c r="B80" s="465"/>
      <c r="C80" s="465"/>
      <c r="D80" s="465"/>
      <c r="E80" s="465"/>
      <c r="F80" s="465"/>
      <c r="G80" s="466"/>
    </row>
    <row r="81" spans="1:7">
      <c r="A81" s="161" t="s">
        <v>423</v>
      </c>
      <c r="B81" s="162"/>
      <c r="C81" s="162"/>
      <c r="D81" s="162" t="s">
        <v>430</v>
      </c>
      <c r="E81" s="162" t="s">
        <v>431</v>
      </c>
      <c r="F81" s="162" t="s">
        <v>480</v>
      </c>
      <c r="G81" s="163" t="s">
        <v>424</v>
      </c>
    </row>
    <row r="82" spans="1:7">
      <c r="A82" s="180" t="s">
        <v>481</v>
      </c>
      <c r="B82" s="165"/>
      <c r="C82" s="181"/>
      <c r="D82" s="165">
        <v>2.25</v>
      </c>
      <c r="E82" s="165">
        <v>3</v>
      </c>
      <c r="F82" s="165"/>
      <c r="G82" s="165">
        <f>ROUND(D82*E82,2)</f>
        <v>6.75</v>
      </c>
    </row>
    <row r="83" spans="1:7">
      <c r="A83" s="164"/>
      <c r="B83" s="165"/>
      <c r="C83" s="165"/>
      <c r="D83" s="165"/>
      <c r="E83" s="467" t="s">
        <v>366</v>
      </c>
      <c r="F83" s="469"/>
      <c r="G83" s="182">
        <f ca="1">SUM(G82:G83)</f>
        <v>6.75</v>
      </c>
    </row>
    <row r="84" spans="1:7">
      <c r="A84" s="180" t="s">
        <v>482</v>
      </c>
      <c r="B84" s="165"/>
      <c r="C84" s="181"/>
      <c r="D84" s="165">
        <f>0.8+1.25</f>
        <v>2.0499999999999998</v>
      </c>
      <c r="E84" s="165">
        <v>1.8</v>
      </c>
      <c r="F84" s="165">
        <f>0.6*1.8</f>
        <v>1.08</v>
      </c>
      <c r="G84" s="165">
        <f>ROUND(D84*E84-F84,2)</f>
        <v>2.61</v>
      </c>
    </row>
    <row r="85" spans="1:7">
      <c r="A85" s="180" t="s">
        <v>483</v>
      </c>
      <c r="B85" s="183"/>
      <c r="C85" s="165"/>
      <c r="D85" s="165">
        <f>2.2+1.25</f>
        <v>3.45</v>
      </c>
      <c r="E85" s="165">
        <v>1.8</v>
      </c>
      <c r="F85" s="165">
        <f>0.6*1.8*2</f>
        <v>2.16</v>
      </c>
      <c r="G85" s="165">
        <f>ROUND(D85*E85-F85,2)</f>
        <v>4.05</v>
      </c>
    </row>
    <row r="86" spans="1:7">
      <c r="A86" s="171"/>
      <c r="B86" s="172"/>
      <c r="C86" s="172"/>
      <c r="D86" s="172"/>
      <c r="E86" s="467" t="s">
        <v>366</v>
      </c>
      <c r="F86" s="469"/>
      <c r="G86" s="182">
        <f>G84+G85</f>
        <v>6.66</v>
      </c>
    </row>
    <row r="87" spans="1:7">
      <c r="A87" s="467"/>
      <c r="B87" s="468"/>
      <c r="C87" s="468"/>
      <c r="D87" s="468"/>
      <c r="E87" s="468"/>
      <c r="F87" s="468"/>
      <c r="G87" s="469"/>
    </row>
    <row r="88" spans="1:7" ht="10.5" customHeight="1">
      <c r="A88" s="166"/>
      <c r="B88" s="166"/>
      <c r="C88" s="166"/>
      <c r="D88" s="166"/>
      <c r="E88" s="166"/>
      <c r="F88" s="166"/>
      <c r="G88" s="166"/>
    </row>
    <row r="89" spans="1:7">
      <c r="A89" s="464" t="s">
        <v>484</v>
      </c>
      <c r="B89" s="465"/>
      <c r="C89" s="465"/>
      <c r="D89" s="465"/>
      <c r="E89" s="465"/>
      <c r="F89" s="465"/>
      <c r="G89" s="466"/>
    </row>
    <row r="90" spans="1:7">
      <c r="A90" s="161" t="s">
        <v>423</v>
      </c>
      <c r="B90" s="162"/>
      <c r="C90" s="162" t="s">
        <v>485</v>
      </c>
      <c r="D90" s="162" t="s">
        <v>430</v>
      </c>
      <c r="E90" s="162" t="s">
        <v>431</v>
      </c>
      <c r="F90" s="162" t="s">
        <v>486</v>
      </c>
      <c r="G90" s="163" t="s">
        <v>366</v>
      </c>
    </row>
    <row r="91" spans="1:7">
      <c r="A91" s="180" t="s">
        <v>487</v>
      </c>
      <c r="B91" s="181"/>
      <c r="C91" s="181">
        <v>2</v>
      </c>
      <c r="D91" s="165">
        <v>2.25</v>
      </c>
      <c r="E91" s="165">
        <v>3</v>
      </c>
      <c r="F91" s="165"/>
      <c r="G91" s="165">
        <f>C91*D91*E91-F91</f>
        <v>13.5</v>
      </c>
    </row>
    <row r="92" spans="1:7">
      <c r="A92" s="180" t="s">
        <v>488</v>
      </c>
      <c r="B92" s="181"/>
      <c r="C92" s="181">
        <v>2</v>
      </c>
      <c r="D92" s="165">
        <v>2.25</v>
      </c>
      <c r="E92" s="165">
        <v>3</v>
      </c>
      <c r="F92" s="165"/>
      <c r="G92" s="165">
        <f>C92*D92*E92-F92</f>
        <v>13.5</v>
      </c>
    </row>
    <row r="93" spans="1:7" ht="27" customHeight="1">
      <c r="A93" s="164" t="s">
        <v>489</v>
      </c>
      <c r="B93" s="184"/>
      <c r="C93" s="165">
        <v>2</v>
      </c>
      <c r="D93" s="165">
        <v>2.25</v>
      </c>
      <c r="E93" s="165">
        <v>1.8</v>
      </c>
      <c r="F93" s="165"/>
      <c r="G93" s="165">
        <f>C93*D93*E93-F93</f>
        <v>8.1</v>
      </c>
    </row>
    <row r="94" spans="1:7" ht="29.25" customHeight="1">
      <c r="A94" s="164" t="s">
        <v>490</v>
      </c>
      <c r="B94" s="184"/>
      <c r="C94" s="165"/>
      <c r="D94" s="165"/>
      <c r="E94" s="165"/>
      <c r="F94" s="165"/>
      <c r="G94" s="165">
        <f>3.37+7.37</f>
        <v>10.74</v>
      </c>
    </row>
    <row r="95" spans="1:7" ht="29.25" customHeight="1">
      <c r="A95" s="168"/>
      <c r="B95" s="185"/>
      <c r="C95" s="183"/>
      <c r="D95" s="183"/>
      <c r="E95" s="183"/>
      <c r="F95" s="183"/>
      <c r="G95" s="186"/>
    </row>
    <row r="96" spans="1:7">
      <c r="A96" s="467"/>
      <c r="B96" s="468"/>
      <c r="C96" s="468"/>
      <c r="D96" s="468"/>
      <c r="E96" s="468"/>
      <c r="F96" s="468"/>
      <c r="G96" s="469"/>
    </row>
    <row r="97" spans="1:7" ht="10.5" customHeight="1">
      <c r="A97" s="166"/>
      <c r="B97" s="166"/>
      <c r="C97" s="166"/>
      <c r="D97" s="166"/>
      <c r="E97" s="166"/>
      <c r="F97" s="166"/>
      <c r="G97" s="166"/>
    </row>
    <row r="98" spans="1:7">
      <c r="A98" s="464" t="s">
        <v>491</v>
      </c>
      <c r="B98" s="465"/>
      <c r="C98" s="465"/>
      <c r="D98" s="465"/>
      <c r="E98" s="465"/>
      <c r="F98" s="465"/>
      <c r="G98" s="466"/>
    </row>
    <row r="99" spans="1:7">
      <c r="A99" s="161" t="s">
        <v>423</v>
      </c>
      <c r="B99" s="162" t="s">
        <v>430</v>
      </c>
      <c r="C99" s="162" t="s">
        <v>431</v>
      </c>
      <c r="D99" s="162" t="s">
        <v>480</v>
      </c>
      <c r="E99" s="162" t="s">
        <v>485</v>
      </c>
      <c r="F99" s="162"/>
      <c r="G99" s="163" t="s">
        <v>366</v>
      </c>
    </row>
    <row r="100" spans="1:7">
      <c r="A100" s="174" t="s">
        <v>492</v>
      </c>
      <c r="B100" s="165"/>
      <c r="C100" s="165"/>
      <c r="D100" s="165"/>
      <c r="E100" s="165"/>
      <c r="F100" s="165"/>
      <c r="G100" s="165"/>
    </row>
    <row r="101" spans="1:7">
      <c r="A101" s="164" t="s">
        <v>493</v>
      </c>
      <c r="B101" s="165">
        <v>14.7</v>
      </c>
      <c r="C101" s="165">
        <f>2.9</f>
        <v>2.9</v>
      </c>
      <c r="D101" s="165">
        <f>2.1*1.6*2+0.8*0.7*2+1.3*1.6*2</f>
        <v>12</v>
      </c>
      <c r="E101" s="165">
        <v>1</v>
      </c>
      <c r="F101" s="165"/>
      <c r="G101" s="165">
        <f>ROUND(B101*C101-D101,2)</f>
        <v>30.63</v>
      </c>
    </row>
    <row r="102" spans="1:7">
      <c r="A102" s="164" t="s">
        <v>494</v>
      </c>
      <c r="B102" s="165">
        <v>8.5500000000000007</v>
      </c>
      <c r="C102" s="165">
        <f t="shared" ref="C102:C108" si="4">2.9</f>
        <v>2.9</v>
      </c>
      <c r="D102" s="165">
        <f>2.1*1.6*2</f>
        <v>6.72</v>
      </c>
      <c r="E102" s="165">
        <v>1</v>
      </c>
      <c r="F102" s="165"/>
      <c r="G102" s="165">
        <f t="shared" ref="G102:G109" si="5">ROUND(B102*C102-D102,2)</f>
        <v>18.079999999999998</v>
      </c>
    </row>
    <row r="103" spans="1:7">
      <c r="A103" s="164" t="s">
        <v>495</v>
      </c>
      <c r="B103" s="165">
        <v>4.3499999999999996</v>
      </c>
      <c r="C103" s="165">
        <f t="shared" si="4"/>
        <v>2.9</v>
      </c>
      <c r="D103" s="165">
        <f>0.8*1.9</f>
        <v>1.52</v>
      </c>
      <c r="E103" s="165">
        <v>1</v>
      </c>
      <c r="F103" s="165"/>
      <c r="G103" s="165">
        <f t="shared" si="5"/>
        <v>11.1</v>
      </c>
    </row>
    <row r="104" spans="1:7">
      <c r="A104" s="164" t="s">
        <v>496</v>
      </c>
      <c r="B104" s="165">
        <v>3.25</v>
      </c>
      <c r="C104" s="165">
        <f t="shared" si="4"/>
        <v>2.9</v>
      </c>
      <c r="D104" s="165">
        <f>2.6*2.5</f>
        <v>6.5</v>
      </c>
      <c r="E104" s="165">
        <v>1</v>
      </c>
      <c r="F104" s="165"/>
      <c r="G104" s="165">
        <f t="shared" si="5"/>
        <v>2.93</v>
      </c>
    </row>
    <row r="105" spans="1:7">
      <c r="A105" s="164" t="s">
        <v>497</v>
      </c>
      <c r="B105" s="165">
        <v>3.65</v>
      </c>
      <c r="C105" s="165">
        <f t="shared" si="4"/>
        <v>2.9</v>
      </c>
      <c r="D105" s="165">
        <v>4.75</v>
      </c>
      <c r="E105" s="165">
        <v>1</v>
      </c>
      <c r="F105" s="165"/>
      <c r="G105" s="165">
        <f t="shared" si="5"/>
        <v>5.84</v>
      </c>
    </row>
    <row r="106" spans="1:7">
      <c r="A106" s="164" t="s">
        <v>498</v>
      </c>
      <c r="B106" s="165">
        <v>3.95</v>
      </c>
      <c r="C106" s="165">
        <f t="shared" si="4"/>
        <v>2.9</v>
      </c>
      <c r="D106" s="165">
        <f>0.8*1.9</f>
        <v>1.52</v>
      </c>
      <c r="E106" s="165">
        <v>1</v>
      </c>
      <c r="F106" s="165"/>
      <c r="G106" s="165">
        <f t="shared" si="5"/>
        <v>9.94</v>
      </c>
    </row>
    <row r="107" spans="1:7">
      <c r="A107" s="164" t="s">
        <v>499</v>
      </c>
      <c r="B107" s="165">
        <v>6.7</v>
      </c>
      <c r="C107" s="165">
        <f t="shared" si="4"/>
        <v>2.9</v>
      </c>
      <c r="D107" s="165">
        <v>6.51</v>
      </c>
      <c r="E107" s="165">
        <v>1</v>
      </c>
      <c r="F107" s="165"/>
      <c r="G107" s="165">
        <f t="shared" si="5"/>
        <v>12.92</v>
      </c>
    </row>
    <row r="108" spans="1:7">
      <c r="A108" s="164" t="s">
        <v>500</v>
      </c>
      <c r="B108" s="165">
        <v>15.75</v>
      </c>
      <c r="C108" s="165">
        <f t="shared" si="4"/>
        <v>2.9</v>
      </c>
      <c r="D108" s="165">
        <f>1.4*0.9+0.7*1+0.8*0.7+2.1*1.6+2.1*1.6</f>
        <v>9.24</v>
      </c>
      <c r="E108" s="165">
        <v>1</v>
      </c>
      <c r="F108" s="165"/>
      <c r="G108" s="165">
        <f t="shared" si="5"/>
        <v>36.44</v>
      </c>
    </row>
    <row r="109" spans="1:7">
      <c r="A109" s="164" t="s">
        <v>501</v>
      </c>
      <c r="B109" s="165">
        <f>0.15*4</f>
        <v>0.6</v>
      </c>
      <c r="C109" s="165">
        <v>2.9</v>
      </c>
      <c r="D109" s="165">
        <v>0</v>
      </c>
      <c r="E109" s="165">
        <v>1</v>
      </c>
      <c r="F109" s="165"/>
      <c r="G109" s="165">
        <f t="shared" si="5"/>
        <v>1.74</v>
      </c>
    </row>
    <row r="110" spans="1:7">
      <c r="A110" s="479"/>
      <c r="B110" s="480"/>
      <c r="C110" s="480"/>
      <c r="D110" s="481"/>
      <c r="E110" s="467" t="s">
        <v>366</v>
      </c>
      <c r="F110" s="469"/>
      <c r="G110" s="173">
        <f>SUM(G101:G109)</f>
        <v>129.62</v>
      </c>
    </row>
    <row r="111" spans="1:7">
      <c r="A111" s="479"/>
      <c r="B111" s="480"/>
      <c r="C111" s="480"/>
      <c r="D111" s="480"/>
      <c r="E111" s="480"/>
      <c r="F111" s="480"/>
      <c r="G111" s="481"/>
    </row>
    <row r="112" spans="1:7">
      <c r="A112" s="174" t="s">
        <v>502</v>
      </c>
      <c r="B112" s="165"/>
      <c r="C112" s="165"/>
      <c r="D112" s="165"/>
      <c r="E112" s="165"/>
      <c r="F112" s="165"/>
      <c r="G112" s="165"/>
    </row>
    <row r="113" spans="1:7">
      <c r="A113" s="164" t="s">
        <v>503</v>
      </c>
      <c r="B113" s="165">
        <v>25</v>
      </c>
      <c r="C113" s="165">
        <v>1</v>
      </c>
      <c r="D113" s="165"/>
      <c r="E113" s="165">
        <v>2</v>
      </c>
      <c r="F113" s="165"/>
      <c r="G113" s="165">
        <f>ROUND(B113*C113*E113,2)</f>
        <v>50</v>
      </c>
    </row>
    <row r="114" spans="1:7">
      <c r="A114" s="164" t="s">
        <v>504</v>
      </c>
      <c r="B114" s="165">
        <v>31</v>
      </c>
      <c r="C114" s="165">
        <v>1.8</v>
      </c>
      <c r="D114" s="165"/>
      <c r="E114" s="165">
        <v>1</v>
      </c>
      <c r="F114" s="165"/>
      <c r="G114" s="165">
        <f t="shared" ref="G114:G117" si="6">ROUND(B114*C114*E114,2)</f>
        <v>55.8</v>
      </c>
    </row>
    <row r="115" spans="1:7">
      <c r="A115" s="164" t="s">
        <v>505</v>
      </c>
      <c r="B115" s="165">
        <v>30</v>
      </c>
      <c r="C115" s="165">
        <v>1.8</v>
      </c>
      <c r="D115" s="165"/>
      <c r="E115" s="165">
        <v>1</v>
      </c>
      <c r="F115" s="165"/>
      <c r="G115" s="165">
        <f t="shared" si="6"/>
        <v>54</v>
      </c>
    </row>
    <row r="116" spans="1:7">
      <c r="A116" s="164" t="s">
        <v>506</v>
      </c>
      <c r="B116" s="165">
        <v>26.01</v>
      </c>
      <c r="C116" s="165">
        <v>1</v>
      </c>
      <c r="D116" s="165"/>
      <c r="E116" s="165">
        <v>2</v>
      </c>
      <c r="F116" s="165"/>
      <c r="G116" s="165">
        <f t="shared" si="6"/>
        <v>52.02</v>
      </c>
    </row>
    <row r="117" spans="1:7">
      <c r="A117" s="164" t="s">
        <v>507</v>
      </c>
      <c r="B117" s="165">
        <v>7.18</v>
      </c>
      <c r="C117" s="165">
        <v>1</v>
      </c>
      <c r="D117" s="165"/>
      <c r="E117" s="165">
        <v>2</v>
      </c>
      <c r="F117" s="165"/>
      <c r="G117" s="165">
        <f t="shared" si="6"/>
        <v>14.36</v>
      </c>
    </row>
    <row r="118" spans="1:7">
      <c r="A118" s="479"/>
      <c r="B118" s="480"/>
      <c r="C118" s="480"/>
      <c r="D118" s="481"/>
      <c r="E118" s="467" t="s">
        <v>366</v>
      </c>
      <c r="F118" s="469"/>
      <c r="G118" s="173">
        <f>SUM(G113:G117)</f>
        <v>226.18</v>
      </c>
    </row>
    <row r="119" spans="1:7">
      <c r="A119" s="479"/>
      <c r="B119" s="480"/>
      <c r="C119" s="480"/>
      <c r="D119" s="480"/>
      <c r="E119" s="480"/>
      <c r="F119" s="480"/>
      <c r="G119" s="481"/>
    </row>
    <row r="120" spans="1:7" ht="22.5">
      <c r="A120" s="174" t="s">
        <v>508</v>
      </c>
      <c r="B120" s="165"/>
      <c r="C120" s="165"/>
      <c r="D120" s="176" t="s">
        <v>509</v>
      </c>
      <c r="E120" s="165"/>
      <c r="F120" s="165"/>
      <c r="G120" s="165"/>
    </row>
    <row r="121" spans="1:7">
      <c r="A121" s="164" t="s">
        <v>503</v>
      </c>
      <c r="B121" s="165">
        <v>25</v>
      </c>
      <c r="C121" s="165">
        <v>0.8</v>
      </c>
      <c r="D121" s="165">
        <v>0.3</v>
      </c>
      <c r="E121" s="165">
        <v>2</v>
      </c>
      <c r="F121" s="165"/>
      <c r="G121" s="165">
        <f>ROUND(B121*C121*D121*E121,2)</f>
        <v>12</v>
      </c>
    </row>
    <row r="122" spans="1:7">
      <c r="A122" s="164" t="s">
        <v>506</v>
      </c>
      <c r="B122" s="165">
        <v>26.01</v>
      </c>
      <c r="C122" s="165">
        <v>0.8</v>
      </c>
      <c r="D122" s="165">
        <v>0.3</v>
      </c>
      <c r="E122" s="165">
        <v>2</v>
      </c>
      <c r="F122" s="165"/>
      <c r="G122" s="165">
        <f t="shared" ref="G122:G123" si="7">ROUND(B122*C122*D122*E122,2)</f>
        <v>12.48</v>
      </c>
    </row>
    <row r="123" spans="1:7">
      <c r="A123" s="164" t="s">
        <v>507</v>
      </c>
      <c r="B123" s="165">
        <v>7.18</v>
      </c>
      <c r="C123" s="165">
        <v>0.8</v>
      </c>
      <c r="D123" s="165">
        <v>0.3</v>
      </c>
      <c r="E123" s="165">
        <v>2</v>
      </c>
      <c r="F123" s="165"/>
      <c r="G123" s="165">
        <f t="shared" si="7"/>
        <v>3.45</v>
      </c>
    </row>
    <row r="124" spans="1:7">
      <c r="A124" s="164" t="s">
        <v>510</v>
      </c>
      <c r="B124" s="165">
        <v>4</v>
      </c>
      <c r="C124" s="165">
        <v>1.8</v>
      </c>
      <c r="D124" s="165">
        <v>1</v>
      </c>
      <c r="E124" s="165">
        <v>2</v>
      </c>
      <c r="F124" s="186"/>
      <c r="G124" s="165">
        <f>ROUND(B124*C124*E124,2)</f>
        <v>14.4</v>
      </c>
    </row>
    <row r="125" spans="1:7">
      <c r="A125" s="164" t="s">
        <v>511</v>
      </c>
      <c r="B125" s="165">
        <v>0.6</v>
      </c>
      <c r="C125" s="165">
        <v>1.8</v>
      </c>
      <c r="D125" s="165">
        <v>1</v>
      </c>
      <c r="E125" s="165">
        <v>2</v>
      </c>
      <c r="F125" s="186"/>
      <c r="G125" s="165">
        <f>ROUND(B125*C125*E125,2)</f>
        <v>2.16</v>
      </c>
    </row>
    <row r="126" spans="1:7">
      <c r="A126" s="479"/>
      <c r="B126" s="480"/>
      <c r="C126" s="480"/>
      <c r="D126" s="481"/>
      <c r="E126" s="467" t="s">
        <v>366</v>
      </c>
      <c r="F126" s="469"/>
      <c r="G126" s="173">
        <f>SUM(G121:G125)</f>
        <v>44.49</v>
      </c>
    </row>
    <row r="127" spans="1:7">
      <c r="A127" s="479"/>
      <c r="B127" s="480"/>
      <c r="C127" s="480"/>
      <c r="D127" s="480"/>
      <c r="E127" s="480"/>
      <c r="F127" s="480"/>
      <c r="G127" s="481"/>
    </row>
    <row r="128" spans="1:7">
      <c r="A128" s="161" t="s">
        <v>423</v>
      </c>
      <c r="B128" s="162" t="s">
        <v>430</v>
      </c>
      <c r="C128" s="162" t="s">
        <v>431</v>
      </c>
      <c r="D128" s="487" t="s">
        <v>480</v>
      </c>
      <c r="E128" s="488"/>
      <c r="F128" s="162"/>
      <c r="G128" s="163" t="s">
        <v>366</v>
      </c>
    </row>
    <row r="129" spans="1:11" ht="22.5">
      <c r="A129" s="174" t="s">
        <v>512</v>
      </c>
      <c r="B129" s="165"/>
      <c r="C129" s="165"/>
      <c r="D129" s="187" t="s">
        <v>513</v>
      </c>
      <c r="E129" s="187" t="s">
        <v>514</v>
      </c>
      <c r="F129" s="165"/>
      <c r="G129" s="165"/>
    </row>
    <row r="130" spans="1:11">
      <c r="A130" s="164" t="s">
        <v>515</v>
      </c>
      <c r="B130" s="165">
        <f>3.525+4.1+4.2+1.95+0.675+2.15</f>
        <v>16.600000000000001</v>
      </c>
      <c r="C130" s="165">
        <f>2.9</f>
        <v>2.9</v>
      </c>
      <c r="D130" s="165">
        <f>2.1*1.6+2.1*1.6+0.8*2.1*2</f>
        <v>10.08</v>
      </c>
      <c r="E130" s="165"/>
      <c r="F130" s="165"/>
      <c r="G130" s="165">
        <f>B130*C130-D130</f>
        <v>38.06</v>
      </c>
    </row>
    <row r="131" spans="1:11">
      <c r="A131" s="164" t="s">
        <v>439</v>
      </c>
      <c r="B131" s="165">
        <f>2*2+1.3*2</f>
        <v>6.6</v>
      </c>
      <c r="C131" s="165">
        <f t="shared" ref="C131:C143" si="8">2.9</f>
        <v>2.9</v>
      </c>
      <c r="D131" s="165">
        <f>0.8*0.7+0.8*2.1</f>
        <v>2.2400000000000002</v>
      </c>
      <c r="E131" s="165">
        <f>B131*1.8</f>
        <v>11.88</v>
      </c>
      <c r="F131" s="165"/>
      <c r="G131" s="165">
        <f>B131*C131-D131-E131</f>
        <v>5.0199999999999996</v>
      </c>
    </row>
    <row r="132" spans="1:11">
      <c r="A132" s="164" t="s">
        <v>516</v>
      </c>
      <c r="B132" s="165">
        <f>2+2.15+0.775+1.05+2.775+3.2</f>
        <v>11.95</v>
      </c>
      <c r="C132" s="165">
        <f t="shared" si="8"/>
        <v>2.9</v>
      </c>
      <c r="D132" s="165">
        <f>1.3*1.6+0.8*2.1*2</f>
        <v>5.44</v>
      </c>
      <c r="E132" s="165"/>
      <c r="F132" s="165"/>
      <c r="G132" s="165">
        <f t="shared" ref="G132:G144" si="9">B132*C132-D132</f>
        <v>29.215</v>
      </c>
    </row>
    <row r="133" spans="1:11">
      <c r="A133" s="164" t="s">
        <v>517</v>
      </c>
      <c r="B133" s="165">
        <f>3.525+4.1+4.2+1.95+0.675+2.15</f>
        <v>16.600000000000001</v>
      </c>
      <c r="C133" s="165">
        <f t="shared" si="8"/>
        <v>2.9</v>
      </c>
      <c r="D133" s="165">
        <f>D130</f>
        <v>10.08</v>
      </c>
      <c r="E133" s="165"/>
      <c r="F133" s="165"/>
      <c r="G133" s="165">
        <f t="shared" si="9"/>
        <v>38.06</v>
      </c>
    </row>
    <row r="134" spans="1:11">
      <c r="A134" s="164" t="s">
        <v>442</v>
      </c>
      <c r="B134" s="165">
        <f>2*2+1.3*2</f>
        <v>6.6</v>
      </c>
      <c r="C134" s="165">
        <f t="shared" si="8"/>
        <v>2.9</v>
      </c>
      <c r="D134" s="165">
        <f>D131</f>
        <v>2.2400000000000002</v>
      </c>
      <c r="E134" s="165">
        <f>B134*1.8</f>
        <v>11.88</v>
      </c>
      <c r="F134" s="165"/>
      <c r="G134" s="165">
        <f>B134*C134-D134-E134</f>
        <v>5.0199999999999996</v>
      </c>
    </row>
    <row r="135" spans="1:11">
      <c r="A135" s="164" t="s">
        <v>518</v>
      </c>
      <c r="B135" s="165">
        <f>2+2.15+0.775+1.05+2.775+3.2</f>
        <v>11.95</v>
      </c>
      <c r="C135" s="165">
        <f t="shared" si="8"/>
        <v>2.9</v>
      </c>
      <c r="D135" s="165">
        <f>D132</f>
        <v>5.44</v>
      </c>
      <c r="E135" s="165"/>
      <c r="F135" s="165"/>
      <c r="G135" s="165">
        <f t="shared" si="9"/>
        <v>29.215</v>
      </c>
    </row>
    <row r="136" spans="1:11">
      <c r="A136" s="164" t="s">
        <v>519</v>
      </c>
      <c r="B136" s="165">
        <f>4.2*2+3.1*2</f>
        <v>14.6</v>
      </c>
      <c r="C136" s="165">
        <f t="shared" si="8"/>
        <v>2.9</v>
      </c>
      <c r="D136" s="165">
        <f>0.8*2.1*2+2.1*1.6</f>
        <v>6.72</v>
      </c>
      <c r="E136" s="165"/>
      <c r="F136" s="165"/>
      <c r="G136" s="165">
        <f t="shared" si="9"/>
        <v>35.619999999999997</v>
      </c>
      <c r="I136" s="157"/>
      <c r="J136" s="157"/>
      <c r="K136" s="157"/>
    </row>
    <row r="137" spans="1:11">
      <c r="A137" s="164" t="s">
        <v>445</v>
      </c>
      <c r="B137" s="165">
        <f>2.25*2+1.25*2</f>
        <v>7</v>
      </c>
      <c r="C137" s="165">
        <f t="shared" si="8"/>
        <v>2.9</v>
      </c>
      <c r="D137" s="165">
        <v>2.2400000000000002</v>
      </c>
      <c r="E137" s="165">
        <f>B137*1.8</f>
        <v>12.6</v>
      </c>
      <c r="F137" s="165"/>
      <c r="G137" s="165">
        <f>B137*C137-D137-E137</f>
        <v>5.46</v>
      </c>
    </row>
    <row r="138" spans="1:11">
      <c r="A138" s="164" t="s">
        <v>520</v>
      </c>
      <c r="B138" s="165">
        <f>4.2*2+4*2</f>
        <v>16.399999999999999</v>
      </c>
      <c r="C138" s="165">
        <f t="shared" si="8"/>
        <v>2.9</v>
      </c>
      <c r="D138" s="165">
        <f>0.8*2.1+2.1*1.6+0.8*1.9</f>
        <v>6.56</v>
      </c>
      <c r="E138" s="165"/>
      <c r="F138" s="165"/>
      <c r="G138" s="165">
        <f t="shared" si="9"/>
        <v>41</v>
      </c>
    </row>
    <row r="139" spans="1:11">
      <c r="A139" s="164" t="s">
        <v>521</v>
      </c>
      <c r="B139" s="165">
        <f>1.9*2+5.7*2</f>
        <v>15.2</v>
      </c>
      <c r="C139" s="165">
        <f t="shared" si="8"/>
        <v>2.9</v>
      </c>
      <c r="D139" s="165">
        <v>9.4499999999999993</v>
      </c>
      <c r="E139" s="165"/>
      <c r="F139" s="165"/>
      <c r="G139" s="165">
        <f t="shared" si="9"/>
        <v>34.630000000000003</v>
      </c>
    </row>
    <row r="140" spans="1:11">
      <c r="A140" s="164" t="s">
        <v>522</v>
      </c>
      <c r="B140" s="165">
        <f>5.7+2.1+1.95+5.6+4+1.6+3.65+6.1</f>
        <v>30.7</v>
      </c>
      <c r="C140" s="165">
        <f t="shared" si="8"/>
        <v>2.9</v>
      </c>
      <c r="D140" s="165">
        <v>22.43</v>
      </c>
      <c r="E140" s="165"/>
      <c r="F140" s="165"/>
      <c r="G140" s="165">
        <f t="shared" si="9"/>
        <v>66.599999999999994</v>
      </c>
    </row>
    <row r="141" spans="1:11">
      <c r="A141" s="164" t="s">
        <v>450</v>
      </c>
      <c r="B141" s="165">
        <f>3.35*2+2.2*2</f>
        <v>11.1</v>
      </c>
      <c r="C141" s="165">
        <f t="shared" si="8"/>
        <v>2.9</v>
      </c>
      <c r="D141" s="165">
        <v>6.43</v>
      </c>
      <c r="E141" s="165">
        <f>B141*1.8</f>
        <v>19.98</v>
      </c>
      <c r="F141" s="165"/>
      <c r="G141" s="165">
        <f>B141*C141-D141-E141</f>
        <v>5.78</v>
      </c>
    </row>
    <row r="142" spans="1:11">
      <c r="A142" s="164" t="s">
        <v>451</v>
      </c>
      <c r="B142" s="165">
        <f>2.25*2+2.53*2</f>
        <v>9.56</v>
      </c>
      <c r="C142" s="165">
        <f t="shared" si="8"/>
        <v>2.9</v>
      </c>
      <c r="D142" s="165">
        <v>2.94</v>
      </c>
      <c r="E142" s="165">
        <f>B142*1.8</f>
        <v>17.207999999999998</v>
      </c>
      <c r="F142" s="165"/>
      <c r="G142" s="165">
        <f>B142*C142-D142-E142</f>
        <v>7.5759999999999996</v>
      </c>
    </row>
    <row r="143" spans="1:11">
      <c r="A143" s="164" t="s">
        <v>523</v>
      </c>
      <c r="B143" s="165">
        <f>2.2*2+2.9*2</f>
        <v>10.199999999999999</v>
      </c>
      <c r="C143" s="165">
        <f t="shared" si="8"/>
        <v>2.9</v>
      </c>
      <c r="D143" s="165">
        <v>3.44</v>
      </c>
      <c r="E143" s="165"/>
      <c r="F143" s="165"/>
      <c r="G143" s="165">
        <f t="shared" si="9"/>
        <v>26.14</v>
      </c>
    </row>
    <row r="144" spans="1:11">
      <c r="A144" s="164" t="s">
        <v>524</v>
      </c>
      <c r="B144" s="165">
        <f>1.5*2+2.25*2</f>
        <v>7.5</v>
      </c>
      <c r="C144" s="165">
        <v>2.9</v>
      </c>
      <c r="D144" s="165">
        <f>1*0.7+0.9*2.1</f>
        <v>2.59</v>
      </c>
      <c r="E144" s="165"/>
      <c r="F144" s="165"/>
      <c r="G144" s="165">
        <f t="shared" si="9"/>
        <v>19.16</v>
      </c>
    </row>
    <row r="145" spans="1:7">
      <c r="A145" s="479"/>
      <c r="B145" s="480"/>
      <c r="C145" s="480"/>
      <c r="D145" s="481"/>
      <c r="E145" s="467" t="s">
        <v>366</v>
      </c>
      <c r="F145" s="469"/>
      <c r="G145" s="173">
        <f>SUM(G130:G144)</f>
        <v>386.55599999999998</v>
      </c>
    </row>
    <row r="146" spans="1:7" s="157" customFormat="1">
      <c r="A146" s="489"/>
      <c r="B146" s="489"/>
      <c r="C146" s="489"/>
      <c r="D146" s="489"/>
      <c r="E146" s="489"/>
      <c r="F146" s="489"/>
      <c r="G146" s="489"/>
    </row>
    <row r="147" spans="1:7">
      <c r="A147" s="161" t="s">
        <v>423</v>
      </c>
      <c r="B147" s="162"/>
      <c r="C147" s="162"/>
      <c r="D147" s="162"/>
      <c r="E147" s="162"/>
      <c r="F147" s="162"/>
      <c r="G147" s="163" t="s">
        <v>366</v>
      </c>
    </row>
    <row r="148" spans="1:7" ht="22.5" customHeight="1">
      <c r="A148" s="164" t="s">
        <v>525</v>
      </c>
      <c r="B148" s="490" t="s">
        <v>526</v>
      </c>
      <c r="C148" s="491"/>
      <c r="D148" s="492"/>
      <c r="E148" s="165"/>
      <c r="F148" s="165"/>
      <c r="G148" s="189">
        <f ca="1">G145+G110-G83</f>
        <v>509.42599999999999</v>
      </c>
    </row>
    <row r="149" spans="1:7">
      <c r="A149" s="479"/>
      <c r="B149" s="480"/>
      <c r="C149" s="480"/>
      <c r="D149" s="481"/>
      <c r="E149" s="467" t="s">
        <v>366</v>
      </c>
      <c r="F149" s="469"/>
      <c r="G149" s="173">
        <f ca="1">SUM(G148)</f>
        <v>509.42599999999999</v>
      </c>
    </row>
    <row r="150" spans="1:7" ht="10.5" customHeight="1">
      <c r="A150" s="166"/>
      <c r="B150" s="166"/>
      <c r="C150" s="166"/>
      <c r="D150" s="166"/>
      <c r="E150" s="166"/>
      <c r="F150" s="166"/>
      <c r="G150" s="166"/>
    </row>
    <row r="151" spans="1:7">
      <c r="A151" s="464" t="s">
        <v>527</v>
      </c>
      <c r="B151" s="465"/>
      <c r="C151" s="465"/>
      <c r="D151" s="465"/>
      <c r="E151" s="465"/>
      <c r="F151" s="465"/>
      <c r="G151" s="466"/>
    </row>
    <row r="152" spans="1:7">
      <c r="A152" s="493" t="s">
        <v>423</v>
      </c>
      <c r="B152" s="493"/>
      <c r="C152" s="162"/>
      <c r="D152" s="162"/>
      <c r="E152" s="162"/>
      <c r="F152" s="162" t="s">
        <v>528</v>
      </c>
      <c r="G152" s="163" t="s">
        <v>366</v>
      </c>
    </row>
    <row r="153" spans="1:7">
      <c r="A153" s="474" t="s">
        <v>438</v>
      </c>
      <c r="B153" s="474"/>
      <c r="C153" s="164"/>
      <c r="D153" s="164"/>
      <c r="E153" s="164"/>
      <c r="F153" s="165">
        <v>15.77</v>
      </c>
      <c r="G153" s="167">
        <f>F153</f>
        <v>15.77</v>
      </c>
    </row>
    <row r="154" spans="1:7">
      <c r="A154" s="475" t="s">
        <v>439</v>
      </c>
      <c r="B154" s="476"/>
      <c r="C154" s="164"/>
      <c r="D154" s="164"/>
      <c r="E154" s="164"/>
      <c r="F154" s="165">
        <v>2.6</v>
      </c>
      <c r="G154" s="167">
        <f t="shared" ref="G154:G168" si="10">F154</f>
        <v>2.6</v>
      </c>
    </row>
    <row r="155" spans="1:7">
      <c r="A155" s="477" t="s">
        <v>440</v>
      </c>
      <c r="B155" s="478"/>
      <c r="C155" s="164"/>
      <c r="D155" s="164"/>
      <c r="E155" s="164"/>
      <c r="F155" s="165">
        <v>7.22</v>
      </c>
      <c r="G155" s="167">
        <f t="shared" si="10"/>
        <v>7.22</v>
      </c>
    </row>
    <row r="156" spans="1:7">
      <c r="A156" s="477" t="s">
        <v>441</v>
      </c>
      <c r="B156" s="478"/>
      <c r="C156" s="164"/>
      <c r="D156" s="164"/>
      <c r="E156" s="164"/>
      <c r="F156" s="165">
        <v>15.77</v>
      </c>
      <c r="G156" s="167">
        <f t="shared" si="10"/>
        <v>15.77</v>
      </c>
    </row>
    <row r="157" spans="1:7">
      <c r="A157" s="477" t="s">
        <v>442</v>
      </c>
      <c r="B157" s="478"/>
      <c r="C157" s="164"/>
      <c r="D157" s="164"/>
      <c r="E157" s="164"/>
      <c r="F157" s="165">
        <v>2.6</v>
      </c>
      <c r="G157" s="167">
        <f t="shared" si="10"/>
        <v>2.6</v>
      </c>
    </row>
    <row r="158" spans="1:7">
      <c r="A158" s="477" t="s">
        <v>443</v>
      </c>
      <c r="B158" s="478"/>
      <c r="C158" s="164"/>
      <c r="D158" s="164"/>
      <c r="E158" s="164"/>
      <c r="F158" s="165">
        <v>7.22</v>
      </c>
      <c r="G158" s="167">
        <f t="shared" si="10"/>
        <v>7.22</v>
      </c>
    </row>
    <row r="159" spans="1:7">
      <c r="A159" s="477" t="s">
        <v>444</v>
      </c>
      <c r="B159" s="478"/>
      <c r="C159" s="164"/>
      <c r="D159" s="164"/>
      <c r="E159" s="164"/>
      <c r="F159" s="165">
        <v>13.02</v>
      </c>
      <c r="G159" s="167">
        <f t="shared" si="10"/>
        <v>13.02</v>
      </c>
    </row>
    <row r="160" spans="1:7">
      <c r="A160" s="477" t="s">
        <v>445</v>
      </c>
      <c r="B160" s="478"/>
      <c r="C160" s="164"/>
      <c r="D160" s="164"/>
      <c r="E160" s="164"/>
      <c r="F160" s="165">
        <v>3.04</v>
      </c>
      <c r="G160" s="167">
        <f t="shared" si="10"/>
        <v>3.04</v>
      </c>
    </row>
    <row r="161" spans="1:10">
      <c r="A161" s="477" t="s">
        <v>446</v>
      </c>
      <c r="B161" s="478"/>
      <c r="C161" s="164"/>
      <c r="D161" s="164"/>
      <c r="E161" s="164"/>
      <c r="F161" s="165">
        <v>10.83</v>
      </c>
      <c r="G161" s="167">
        <f t="shared" si="10"/>
        <v>10.83</v>
      </c>
    </row>
    <row r="162" spans="1:10">
      <c r="A162" s="477" t="s">
        <v>447</v>
      </c>
      <c r="B162" s="478"/>
      <c r="C162" s="164"/>
      <c r="D162" s="164"/>
      <c r="E162" s="164"/>
      <c r="F162" s="165">
        <v>16.8</v>
      </c>
      <c r="G162" s="167">
        <f t="shared" si="10"/>
        <v>16.8</v>
      </c>
    </row>
    <row r="163" spans="1:10">
      <c r="A163" s="477" t="s">
        <v>448</v>
      </c>
      <c r="B163" s="478"/>
      <c r="C163" s="164"/>
      <c r="D163" s="164"/>
      <c r="E163" s="164"/>
      <c r="F163" s="165">
        <v>48.97</v>
      </c>
      <c r="G163" s="167">
        <f t="shared" si="10"/>
        <v>48.97</v>
      </c>
    </row>
    <row r="164" spans="1:10">
      <c r="A164" s="477" t="s">
        <v>449</v>
      </c>
      <c r="B164" s="478"/>
      <c r="C164" s="164"/>
      <c r="D164" s="164"/>
      <c r="E164" s="164"/>
      <c r="F164" s="165">
        <v>6.38</v>
      </c>
      <c r="G164" s="167">
        <f t="shared" si="10"/>
        <v>6.38</v>
      </c>
    </row>
    <row r="165" spans="1:10">
      <c r="A165" s="477" t="s">
        <v>450</v>
      </c>
      <c r="B165" s="478"/>
      <c r="C165" s="164"/>
      <c r="D165" s="164"/>
      <c r="E165" s="164"/>
      <c r="F165" s="165">
        <v>7.37</v>
      </c>
      <c r="G165" s="167">
        <f t="shared" si="10"/>
        <v>7.37</v>
      </c>
    </row>
    <row r="166" spans="1:10">
      <c r="A166" s="477" t="s">
        <v>451</v>
      </c>
      <c r="B166" s="478"/>
      <c r="C166" s="164"/>
      <c r="D166" s="164"/>
      <c r="E166" s="164"/>
      <c r="F166" s="165">
        <v>5.51</v>
      </c>
      <c r="G166" s="167">
        <f t="shared" si="10"/>
        <v>5.51</v>
      </c>
    </row>
    <row r="167" spans="1:10">
      <c r="A167" s="477" t="s">
        <v>453</v>
      </c>
      <c r="B167" s="478"/>
      <c r="C167" s="164"/>
      <c r="D167" s="164"/>
      <c r="E167" s="164"/>
      <c r="F167" s="165">
        <v>13.6</v>
      </c>
      <c r="G167" s="167">
        <f t="shared" si="10"/>
        <v>13.6</v>
      </c>
    </row>
    <row r="168" spans="1:10">
      <c r="A168" s="169" t="s">
        <v>524</v>
      </c>
      <c r="B168" s="170"/>
      <c r="C168" s="164"/>
      <c r="D168" s="164"/>
      <c r="E168" s="164"/>
      <c r="F168" s="165">
        <v>3.37</v>
      </c>
      <c r="G168" s="167">
        <f t="shared" si="10"/>
        <v>3.37</v>
      </c>
    </row>
    <row r="169" spans="1:10">
      <c r="A169" s="479"/>
      <c r="B169" s="480"/>
      <c r="C169" s="480"/>
      <c r="D169" s="481"/>
      <c r="E169" s="467" t="s">
        <v>366</v>
      </c>
      <c r="F169" s="469"/>
      <c r="G169" s="173">
        <f>SUM(G153:G168)</f>
        <v>180.07</v>
      </c>
    </row>
    <row r="170" spans="1:10" ht="10.5" customHeight="1">
      <c r="A170" s="166"/>
      <c r="B170" s="166"/>
      <c r="C170" s="166"/>
      <c r="D170" s="166"/>
      <c r="E170" s="166"/>
      <c r="F170" s="166"/>
      <c r="G170" s="166"/>
    </row>
    <row r="171" spans="1:10">
      <c r="A171" s="464" t="s">
        <v>529</v>
      </c>
      <c r="B171" s="465"/>
      <c r="C171" s="465"/>
      <c r="D171" s="465"/>
      <c r="E171" s="465"/>
      <c r="F171" s="465"/>
      <c r="G171" s="466"/>
    </row>
    <row r="172" spans="1:10">
      <c r="A172" s="161" t="s">
        <v>423</v>
      </c>
      <c r="B172" s="162"/>
      <c r="C172" s="162"/>
      <c r="D172" s="162"/>
      <c r="E172" s="162" t="s">
        <v>431</v>
      </c>
      <c r="F172" s="162" t="s">
        <v>9</v>
      </c>
      <c r="G172" s="162" t="s">
        <v>455</v>
      </c>
      <c r="I172" s="157"/>
      <c r="J172" s="157"/>
    </row>
    <row r="173" spans="1:10">
      <c r="A173" s="180" t="s">
        <v>530</v>
      </c>
      <c r="B173" s="181"/>
      <c r="C173" s="181"/>
      <c r="D173" s="162"/>
      <c r="E173" s="162"/>
      <c r="F173" s="165">
        <v>1</v>
      </c>
      <c r="G173" s="165">
        <v>0.9</v>
      </c>
      <c r="I173" s="157"/>
      <c r="J173" s="157"/>
    </row>
    <row r="174" spans="1:10">
      <c r="A174" s="180" t="s">
        <v>531</v>
      </c>
      <c r="B174" s="181"/>
      <c r="C174" s="181"/>
      <c r="D174" s="162"/>
      <c r="E174" s="162"/>
      <c r="F174" s="165">
        <v>1</v>
      </c>
      <c r="G174" s="165">
        <v>2.6</v>
      </c>
      <c r="I174" s="157"/>
      <c r="J174" s="157"/>
    </row>
    <row r="175" spans="1:10">
      <c r="A175" s="180" t="s">
        <v>532</v>
      </c>
      <c r="B175" s="181"/>
      <c r="C175" s="181"/>
      <c r="D175" s="162"/>
      <c r="E175" s="162">
        <v>1.8</v>
      </c>
      <c r="F175" s="165">
        <v>2</v>
      </c>
      <c r="G175" s="165">
        <v>0.6</v>
      </c>
      <c r="I175" s="157"/>
      <c r="J175" s="157"/>
    </row>
    <row r="176" spans="1:10">
      <c r="A176" s="180" t="s">
        <v>533</v>
      </c>
      <c r="B176" s="181"/>
      <c r="C176" s="181"/>
      <c r="D176" s="162"/>
      <c r="E176" s="162">
        <v>1.8</v>
      </c>
      <c r="F176" s="165">
        <v>1</v>
      </c>
      <c r="G176" s="165">
        <v>0.6</v>
      </c>
      <c r="I176" s="157"/>
      <c r="J176" s="157"/>
    </row>
    <row r="177" spans="1:10">
      <c r="A177" s="494" t="s">
        <v>534</v>
      </c>
      <c r="B177" s="494"/>
      <c r="C177" s="494"/>
      <c r="D177" s="494"/>
      <c r="E177" s="494"/>
      <c r="F177" s="494"/>
      <c r="G177" s="190">
        <f>F173</f>
        <v>1</v>
      </c>
      <c r="I177" s="157"/>
      <c r="J177" s="157"/>
    </row>
    <row r="178" spans="1:10">
      <c r="A178" s="180"/>
      <c r="B178" s="181"/>
      <c r="C178" s="181"/>
      <c r="D178" s="162"/>
      <c r="E178" s="162"/>
      <c r="F178" s="175" t="s">
        <v>455</v>
      </c>
      <c r="G178" s="175" t="s">
        <v>366</v>
      </c>
      <c r="I178" s="157"/>
      <c r="J178" s="157"/>
    </row>
    <row r="179" spans="1:10">
      <c r="A179" s="164" t="s">
        <v>535</v>
      </c>
      <c r="B179" s="181"/>
      <c r="C179" s="181"/>
      <c r="D179" s="162"/>
      <c r="E179" s="162"/>
      <c r="F179" s="165">
        <f>F173*G173</f>
        <v>0.9</v>
      </c>
      <c r="G179" s="165">
        <f>F179</f>
        <v>0.9</v>
      </c>
      <c r="I179" s="157"/>
      <c r="J179" s="157"/>
    </row>
    <row r="180" spans="1:10">
      <c r="A180" s="494" t="s">
        <v>366</v>
      </c>
      <c r="B180" s="494"/>
      <c r="C180" s="494"/>
      <c r="D180" s="494"/>
      <c r="E180" s="494"/>
      <c r="F180" s="494"/>
      <c r="G180" s="190">
        <f>G179</f>
        <v>0.9</v>
      </c>
      <c r="I180" s="157"/>
      <c r="J180" s="157"/>
    </row>
    <row r="181" spans="1:10">
      <c r="A181" s="161" t="s">
        <v>423</v>
      </c>
      <c r="B181" s="162"/>
      <c r="C181" s="162"/>
      <c r="D181" s="162"/>
      <c r="E181" s="162" t="s">
        <v>431</v>
      </c>
      <c r="F181" s="162" t="s">
        <v>456</v>
      </c>
      <c r="G181" s="162" t="s">
        <v>424</v>
      </c>
      <c r="I181" s="157"/>
      <c r="J181" s="157"/>
    </row>
    <row r="182" spans="1:10">
      <c r="A182" s="180" t="s">
        <v>536</v>
      </c>
      <c r="B182" s="181"/>
      <c r="C182" s="181"/>
      <c r="D182" s="162"/>
      <c r="E182" s="191">
        <v>0.7</v>
      </c>
      <c r="F182" s="165">
        <v>1</v>
      </c>
      <c r="G182" s="165">
        <f>ROUND(E182*F182,2)</f>
        <v>0.7</v>
      </c>
      <c r="I182" s="157"/>
      <c r="J182" s="157"/>
    </row>
    <row r="183" spans="1:10">
      <c r="A183" s="180" t="s">
        <v>537</v>
      </c>
      <c r="B183" s="181"/>
      <c r="C183" s="181"/>
      <c r="D183" s="162"/>
      <c r="E183" s="191">
        <v>1.4</v>
      </c>
      <c r="F183" s="165">
        <v>0.9</v>
      </c>
      <c r="G183" s="165">
        <f>ROUND(E183*F183,2)</f>
        <v>1.26</v>
      </c>
      <c r="I183" s="157"/>
      <c r="J183" s="157"/>
    </row>
    <row r="184" spans="1:10">
      <c r="A184" s="180"/>
      <c r="B184" s="181"/>
      <c r="C184" s="181"/>
      <c r="D184" s="162"/>
      <c r="E184" s="191"/>
      <c r="F184" s="165"/>
      <c r="G184" s="165"/>
      <c r="I184" s="157"/>
      <c r="J184" s="157"/>
    </row>
    <row r="185" spans="1:10">
      <c r="A185" s="180"/>
      <c r="B185" s="181"/>
      <c r="C185" s="181"/>
      <c r="D185" s="162"/>
      <c r="E185" s="191"/>
      <c r="F185" s="165"/>
      <c r="G185" s="165"/>
      <c r="I185" s="157"/>
      <c r="J185" s="157"/>
    </row>
    <row r="186" spans="1:10" ht="22.5">
      <c r="A186" s="494" t="s">
        <v>534</v>
      </c>
      <c r="B186" s="494"/>
      <c r="C186" s="494"/>
      <c r="D186" s="494"/>
      <c r="E186" s="494"/>
      <c r="F186" s="494"/>
      <c r="G186" s="190" t="str">
        <f>F181</f>
        <v>COMPRIMENTO</v>
      </c>
      <c r="I186" s="157"/>
      <c r="J186" s="157"/>
    </row>
    <row r="187" spans="1:10">
      <c r="A187" s="180"/>
      <c r="B187" s="181"/>
      <c r="C187" s="181"/>
      <c r="D187" s="162"/>
      <c r="E187" s="162"/>
      <c r="F187" s="175" t="s">
        <v>455</v>
      </c>
      <c r="G187" s="175" t="s">
        <v>366</v>
      </c>
      <c r="I187" s="157"/>
      <c r="J187" s="157"/>
    </row>
    <row r="188" spans="1:10">
      <c r="A188" s="164" t="s">
        <v>538</v>
      </c>
      <c r="B188" s="181"/>
      <c r="C188" s="181"/>
      <c r="D188" s="162"/>
      <c r="E188" s="162"/>
      <c r="F188" s="165">
        <f>0.775</f>
        <v>0.77500000000000002</v>
      </c>
      <c r="G188" s="165">
        <f>F188</f>
        <v>0.77500000000000002</v>
      </c>
      <c r="I188" s="157"/>
      <c r="J188" s="157"/>
    </row>
    <row r="189" spans="1:10">
      <c r="A189" s="494" t="s">
        <v>366</v>
      </c>
      <c r="B189" s="494"/>
      <c r="C189" s="494"/>
      <c r="D189" s="494"/>
      <c r="E189" s="494"/>
      <c r="F189" s="494"/>
      <c r="G189" s="190">
        <f>G188</f>
        <v>0.77500000000000002</v>
      </c>
      <c r="I189" s="157"/>
      <c r="J189" s="157"/>
    </row>
    <row r="190" spans="1:10">
      <c r="A190" s="165"/>
      <c r="B190" s="165"/>
      <c r="C190" s="165"/>
      <c r="D190" s="165"/>
      <c r="E190" s="165"/>
      <c r="F190" s="165"/>
      <c r="G190" s="165"/>
      <c r="I190" s="157"/>
      <c r="J190" s="157"/>
    </row>
    <row r="191" spans="1:10">
      <c r="A191" s="165"/>
      <c r="B191" s="165"/>
      <c r="C191" s="165"/>
      <c r="D191" s="165"/>
      <c r="E191" s="165"/>
      <c r="F191" s="165"/>
      <c r="G191" s="165"/>
      <c r="I191" s="157"/>
      <c r="J191" s="157"/>
    </row>
    <row r="192" spans="1:10">
      <c r="A192" s="494" t="s">
        <v>539</v>
      </c>
      <c r="B192" s="494"/>
      <c r="C192" s="494"/>
      <c r="D192" s="494"/>
      <c r="E192" s="494"/>
      <c r="F192" s="494"/>
      <c r="G192" s="190">
        <f>SUM(G180:G180)</f>
        <v>0.9</v>
      </c>
      <c r="I192" s="157"/>
      <c r="J192" s="157"/>
    </row>
    <row r="193" spans="1:9">
      <c r="A193" s="166"/>
      <c r="B193" s="166"/>
      <c r="C193" s="166"/>
      <c r="D193" s="166"/>
      <c r="E193" s="166"/>
      <c r="F193" s="166"/>
      <c r="G193" s="166"/>
    </row>
    <row r="194" spans="1:9">
      <c r="A194" s="464" t="s">
        <v>540</v>
      </c>
      <c r="B194" s="465"/>
      <c r="C194" s="465"/>
      <c r="D194" s="465"/>
      <c r="E194" s="465"/>
      <c r="F194" s="465"/>
      <c r="G194" s="466"/>
    </row>
    <row r="195" spans="1:9">
      <c r="A195" s="161" t="s">
        <v>423</v>
      </c>
      <c r="B195" s="162"/>
      <c r="C195" s="162"/>
      <c r="D195" s="162"/>
      <c r="E195" s="162"/>
      <c r="F195" s="162"/>
      <c r="G195" s="162" t="s">
        <v>430</v>
      </c>
    </row>
    <row r="196" spans="1:9">
      <c r="A196" s="180" t="s">
        <v>541</v>
      </c>
      <c r="B196" s="165"/>
      <c r="C196" s="495" t="s">
        <v>542</v>
      </c>
      <c r="D196" s="496"/>
      <c r="E196" s="496"/>
      <c r="F196" s="497"/>
      <c r="G196" s="165">
        <v>4.33</v>
      </c>
      <c r="I196" s="157"/>
    </row>
    <row r="197" spans="1:9">
      <c r="A197" s="180"/>
      <c r="B197" s="165"/>
      <c r="C197" s="181"/>
      <c r="D197" s="165"/>
      <c r="E197" s="165"/>
      <c r="F197" s="165"/>
      <c r="G197" s="165"/>
      <c r="I197" s="157"/>
    </row>
    <row r="198" spans="1:9">
      <c r="A198" s="164" t="s">
        <v>543</v>
      </c>
      <c r="B198" s="194"/>
      <c r="C198" s="165"/>
      <c r="D198" s="165"/>
      <c r="E198" s="165"/>
      <c r="F198" s="165"/>
      <c r="G198" s="175" t="s">
        <v>544</v>
      </c>
      <c r="I198" s="157"/>
    </row>
    <row r="199" spans="1:9">
      <c r="A199" s="164" t="s">
        <v>545</v>
      </c>
      <c r="B199" s="194"/>
      <c r="C199" s="495" t="s">
        <v>542</v>
      </c>
      <c r="D199" s="496"/>
      <c r="E199" s="496"/>
      <c r="F199" s="497"/>
      <c r="G199" s="165">
        <v>1</v>
      </c>
      <c r="I199" s="157"/>
    </row>
    <row r="200" spans="1:9">
      <c r="A200" s="164"/>
      <c r="B200" s="165"/>
      <c r="C200" s="165"/>
      <c r="D200" s="165"/>
      <c r="E200" s="165"/>
      <c r="F200" s="165"/>
      <c r="G200" s="165"/>
      <c r="I200" s="157"/>
    </row>
    <row r="201" spans="1:9">
      <c r="A201" s="166"/>
      <c r="B201" s="166"/>
      <c r="C201" s="166"/>
      <c r="D201" s="166"/>
      <c r="E201" s="166"/>
      <c r="F201" s="166"/>
      <c r="G201" s="166"/>
      <c r="I201" s="157"/>
    </row>
    <row r="202" spans="1:9">
      <c r="A202" s="464" t="s">
        <v>546</v>
      </c>
      <c r="B202" s="465"/>
      <c r="C202" s="465"/>
      <c r="D202" s="465"/>
      <c r="E202" s="465"/>
      <c r="F202" s="465"/>
      <c r="G202" s="466"/>
    </row>
    <row r="203" spans="1:9">
      <c r="A203" s="161" t="s">
        <v>423</v>
      </c>
      <c r="B203" s="162"/>
      <c r="C203" s="162"/>
      <c r="D203" s="162"/>
      <c r="E203" s="162"/>
      <c r="F203" s="162"/>
      <c r="G203" s="163" t="s">
        <v>430</v>
      </c>
    </row>
    <row r="204" spans="1:9">
      <c r="A204" s="180" t="s">
        <v>547</v>
      </c>
      <c r="B204" s="181"/>
      <c r="C204" s="495" t="s">
        <v>542</v>
      </c>
      <c r="D204" s="496"/>
      <c r="E204" s="496"/>
      <c r="F204" s="497"/>
      <c r="G204" s="165">
        <v>1.87</v>
      </c>
      <c r="I204" s="157"/>
    </row>
    <row r="205" spans="1:9">
      <c r="A205" s="180" t="s">
        <v>548</v>
      </c>
      <c r="B205" s="181"/>
      <c r="C205" s="495" t="s">
        <v>542</v>
      </c>
      <c r="D205" s="496"/>
      <c r="E205" s="496"/>
      <c r="F205" s="497"/>
      <c r="G205" s="165">
        <v>3.3</v>
      </c>
      <c r="I205" s="157"/>
    </row>
    <row r="206" spans="1:9">
      <c r="A206" s="180"/>
      <c r="B206" s="181"/>
      <c r="C206" s="165"/>
      <c r="D206" s="165"/>
      <c r="E206" s="165"/>
      <c r="F206" s="193"/>
      <c r="G206" s="165"/>
      <c r="I206" s="157"/>
    </row>
    <row r="207" spans="1:9">
      <c r="A207" s="180" t="s">
        <v>543</v>
      </c>
      <c r="B207" s="181"/>
      <c r="C207" s="165"/>
      <c r="D207" s="165"/>
      <c r="E207" s="165"/>
      <c r="F207" s="165"/>
      <c r="G207" s="175" t="s">
        <v>544</v>
      </c>
      <c r="I207" s="157"/>
    </row>
    <row r="208" spans="1:9">
      <c r="A208" s="180" t="s">
        <v>549</v>
      </c>
      <c r="B208" s="181"/>
      <c r="C208" s="495" t="s">
        <v>542</v>
      </c>
      <c r="D208" s="496"/>
      <c r="E208" s="496"/>
      <c r="F208" s="497"/>
      <c r="G208" s="165">
        <v>1</v>
      </c>
      <c r="I208" s="157"/>
    </row>
    <row r="209" spans="1:7">
      <c r="A209" s="180"/>
      <c r="B209" s="181"/>
      <c r="C209" s="181"/>
      <c r="D209" s="165"/>
      <c r="E209" s="165"/>
      <c r="F209" s="165"/>
      <c r="G209" s="165"/>
    </row>
    <row r="210" spans="1:7">
      <c r="A210" s="164"/>
      <c r="B210" s="194"/>
      <c r="C210" s="165"/>
      <c r="D210" s="165"/>
      <c r="E210" s="165"/>
      <c r="F210" s="165"/>
      <c r="G210" s="165"/>
    </row>
    <row r="211" spans="1:7">
      <c r="A211" s="467"/>
      <c r="B211" s="468"/>
      <c r="C211" s="468"/>
      <c r="D211" s="468"/>
      <c r="E211" s="468"/>
      <c r="F211" s="468"/>
      <c r="G211" s="469"/>
    </row>
    <row r="212" spans="1:7">
      <c r="A212" s="166"/>
      <c r="B212" s="166"/>
      <c r="C212" s="166"/>
      <c r="D212" s="166"/>
      <c r="E212" s="166"/>
      <c r="F212" s="166"/>
      <c r="G212" s="166"/>
    </row>
    <row r="213" spans="1:7">
      <c r="A213" s="464" t="s">
        <v>550</v>
      </c>
      <c r="B213" s="465"/>
      <c r="C213" s="465"/>
      <c r="D213" s="465"/>
      <c r="E213" s="465"/>
      <c r="F213" s="465"/>
      <c r="G213" s="466"/>
    </row>
    <row r="214" spans="1:7">
      <c r="A214" s="161" t="s">
        <v>423</v>
      </c>
      <c r="B214" s="162"/>
      <c r="C214" s="162"/>
      <c r="D214" s="162"/>
      <c r="E214" s="162"/>
      <c r="F214" s="162"/>
      <c r="G214" s="163" t="s">
        <v>544</v>
      </c>
    </row>
    <row r="215" spans="1:7">
      <c r="A215" s="180" t="s">
        <v>551</v>
      </c>
      <c r="B215" s="181"/>
      <c r="C215" s="181"/>
      <c r="D215" s="165"/>
      <c r="E215" s="165"/>
      <c r="F215" s="165"/>
      <c r="G215" s="165"/>
    </row>
    <row r="216" spans="1:7">
      <c r="A216" s="180" t="s">
        <v>467</v>
      </c>
      <c r="B216" s="181"/>
      <c r="C216" s="181"/>
      <c r="D216" s="165"/>
      <c r="E216" s="165"/>
      <c r="F216" s="165"/>
      <c r="G216" s="165">
        <v>2</v>
      </c>
    </row>
    <row r="217" spans="1:7">
      <c r="A217" s="180" t="s">
        <v>468</v>
      </c>
      <c r="B217" s="181"/>
      <c r="C217" s="181"/>
      <c r="D217" s="165"/>
      <c r="E217" s="165"/>
      <c r="F217" s="165"/>
      <c r="G217" s="165">
        <v>1</v>
      </c>
    </row>
    <row r="218" spans="1:7">
      <c r="A218" s="180" t="s">
        <v>464</v>
      </c>
      <c r="B218" s="181"/>
      <c r="C218" s="181"/>
      <c r="D218" s="165"/>
      <c r="E218" s="165"/>
      <c r="F218" s="165"/>
      <c r="G218" s="165">
        <v>1</v>
      </c>
    </row>
    <row r="219" spans="1:7">
      <c r="A219" s="180" t="s">
        <v>465</v>
      </c>
      <c r="B219" s="181"/>
      <c r="C219" s="181"/>
      <c r="D219" s="165"/>
      <c r="E219" s="165"/>
      <c r="F219" s="165"/>
      <c r="G219" s="165">
        <v>1</v>
      </c>
    </row>
    <row r="220" spans="1:7">
      <c r="A220" s="180" t="s">
        <v>466</v>
      </c>
      <c r="B220" s="181"/>
      <c r="C220" s="181"/>
      <c r="D220" s="165"/>
      <c r="E220" s="165"/>
      <c r="F220" s="165"/>
      <c r="G220" s="165">
        <v>1</v>
      </c>
    </row>
    <row r="221" spans="1:7">
      <c r="A221" s="180" t="s">
        <v>552</v>
      </c>
      <c r="B221" s="181"/>
      <c r="C221" s="181"/>
      <c r="D221" s="165"/>
      <c r="E221" s="179"/>
      <c r="F221" s="186"/>
      <c r="G221" s="186">
        <v>1</v>
      </c>
    </row>
    <row r="222" spans="1:7">
      <c r="A222" s="180"/>
      <c r="B222" s="181"/>
      <c r="C222" s="181"/>
      <c r="D222" s="165"/>
      <c r="E222" s="467" t="s">
        <v>366</v>
      </c>
      <c r="F222" s="469"/>
      <c r="G222" s="173">
        <f>SUM(G216:G220)</f>
        <v>6</v>
      </c>
    </row>
    <row r="223" spans="1:7">
      <c r="A223" s="489"/>
      <c r="B223" s="489"/>
      <c r="C223" s="489"/>
      <c r="D223" s="489"/>
      <c r="E223" s="489"/>
      <c r="F223" s="489"/>
      <c r="G223" s="489"/>
    </row>
    <row r="224" spans="1:7">
      <c r="A224" s="180" t="s">
        <v>553</v>
      </c>
      <c r="B224" s="181"/>
      <c r="C224" s="181"/>
      <c r="D224" s="165"/>
      <c r="E224" s="165"/>
      <c r="F224" s="165"/>
      <c r="G224" s="165">
        <v>6</v>
      </c>
    </row>
    <row r="225" spans="1:7">
      <c r="A225" s="180" t="s">
        <v>452</v>
      </c>
      <c r="B225" s="181"/>
      <c r="C225" s="181"/>
      <c r="D225" s="165"/>
      <c r="E225" s="165"/>
      <c r="F225" s="165"/>
      <c r="G225" s="186">
        <v>1</v>
      </c>
    </row>
    <row r="226" spans="1:7">
      <c r="A226" s="180"/>
      <c r="B226" s="181"/>
      <c r="C226" s="181"/>
      <c r="D226" s="165"/>
      <c r="E226" s="181" t="s">
        <v>367</v>
      </c>
      <c r="F226" s="165"/>
      <c r="G226" s="165"/>
    </row>
    <row r="227" spans="1:7">
      <c r="A227" s="489"/>
      <c r="B227" s="489"/>
      <c r="C227" s="489"/>
      <c r="D227" s="489"/>
      <c r="E227" s="489"/>
      <c r="F227" s="489"/>
      <c r="G227" s="489"/>
    </row>
    <row r="228" spans="1:7">
      <c r="A228" s="164" t="s">
        <v>461</v>
      </c>
      <c r="B228" s="184"/>
      <c r="C228" s="165"/>
      <c r="D228" s="165"/>
      <c r="E228" s="165"/>
      <c r="F228" s="165"/>
      <c r="G228" s="165">
        <v>2</v>
      </c>
    </row>
    <row r="229" spans="1:7">
      <c r="A229" s="180"/>
      <c r="B229" s="181"/>
      <c r="C229" s="181"/>
      <c r="D229" s="165"/>
      <c r="E229" s="467" t="s">
        <v>366</v>
      </c>
      <c r="F229" s="469"/>
      <c r="G229" s="173">
        <f>SUM(G228)</f>
        <v>2</v>
      </c>
    </row>
    <row r="230" spans="1:7">
      <c r="A230" s="489"/>
      <c r="B230" s="489"/>
      <c r="C230" s="489"/>
      <c r="D230" s="489"/>
      <c r="E230" s="489"/>
      <c r="F230" s="489"/>
      <c r="G230" s="489"/>
    </row>
    <row r="231" spans="1:7">
      <c r="A231" s="164" t="s">
        <v>554</v>
      </c>
      <c r="B231" s="184"/>
      <c r="C231" s="165"/>
      <c r="D231" s="165"/>
      <c r="E231" s="165"/>
      <c r="F231" s="165"/>
      <c r="G231" s="165">
        <v>6</v>
      </c>
    </row>
    <row r="232" spans="1:7">
      <c r="A232" s="180"/>
      <c r="B232" s="181"/>
      <c r="C232" s="181"/>
      <c r="D232" s="165"/>
      <c r="E232" s="467" t="s">
        <v>366</v>
      </c>
      <c r="F232" s="469"/>
      <c r="G232" s="173">
        <f>SUM(G231)</f>
        <v>6</v>
      </c>
    </row>
    <row r="233" spans="1:7">
      <c r="A233" s="489"/>
      <c r="B233" s="489"/>
      <c r="C233" s="489"/>
      <c r="D233" s="489"/>
      <c r="E233" s="489"/>
      <c r="F233" s="489"/>
      <c r="G233" s="489"/>
    </row>
    <row r="234" spans="1:7">
      <c r="A234" s="164" t="s">
        <v>555</v>
      </c>
      <c r="B234" s="184"/>
      <c r="C234" s="165"/>
      <c r="D234" s="165"/>
      <c r="E234" s="165"/>
      <c r="F234" s="165"/>
      <c r="G234" s="165">
        <v>13</v>
      </c>
    </row>
    <row r="235" spans="1:7">
      <c r="A235" s="180"/>
      <c r="B235" s="181"/>
      <c r="C235" s="181"/>
      <c r="D235" s="165"/>
      <c r="E235" s="467" t="s">
        <v>366</v>
      </c>
      <c r="F235" s="469"/>
      <c r="G235" s="173">
        <f>SUM(G234)</f>
        <v>13</v>
      </c>
    </row>
    <row r="236" spans="1:7">
      <c r="A236" s="489"/>
      <c r="B236" s="489"/>
      <c r="C236" s="489"/>
      <c r="D236" s="489"/>
      <c r="E236" s="489"/>
      <c r="F236" s="489"/>
      <c r="G236" s="489"/>
    </row>
    <row r="237" spans="1:7">
      <c r="A237" s="464" t="s">
        <v>556</v>
      </c>
      <c r="B237" s="465"/>
      <c r="C237" s="465"/>
      <c r="D237" s="465"/>
      <c r="E237" s="465"/>
      <c r="F237" s="465"/>
      <c r="G237" s="466"/>
    </row>
    <row r="238" spans="1:7">
      <c r="A238" s="161" t="s">
        <v>423</v>
      </c>
      <c r="B238" s="162"/>
      <c r="C238" s="162"/>
      <c r="D238" s="162"/>
      <c r="E238" s="162"/>
      <c r="F238" s="162"/>
      <c r="G238" s="162" t="s">
        <v>544</v>
      </c>
    </row>
    <row r="239" spans="1:7">
      <c r="A239" s="180" t="s">
        <v>557</v>
      </c>
      <c r="B239" s="165"/>
      <c r="C239" s="495" t="s">
        <v>542</v>
      </c>
      <c r="D239" s="496"/>
      <c r="E239" s="496"/>
      <c r="F239" s="497"/>
      <c r="G239" s="195">
        <v>15</v>
      </c>
    </row>
    <row r="240" spans="1:7">
      <c r="A240" s="180" t="s">
        <v>558</v>
      </c>
      <c r="B240" s="165"/>
      <c r="C240" s="495" t="s">
        <v>542</v>
      </c>
      <c r="D240" s="496"/>
      <c r="E240" s="496"/>
      <c r="F240" s="497"/>
      <c r="G240" s="195">
        <v>4</v>
      </c>
    </row>
    <row r="241" spans="1:7">
      <c r="A241" s="180" t="s">
        <v>559</v>
      </c>
      <c r="B241" s="165"/>
      <c r="C241" s="495" t="s">
        <v>542</v>
      </c>
      <c r="D241" s="496"/>
      <c r="E241" s="496"/>
      <c r="F241" s="497"/>
      <c r="G241" s="195">
        <v>5</v>
      </c>
    </row>
    <row r="242" spans="1:7">
      <c r="A242" s="164" t="s">
        <v>560</v>
      </c>
      <c r="B242" s="194"/>
      <c r="C242" s="495" t="s">
        <v>542</v>
      </c>
      <c r="D242" s="496"/>
      <c r="E242" s="496"/>
      <c r="F242" s="497"/>
      <c r="G242" s="195">
        <v>2</v>
      </c>
    </row>
    <row r="243" spans="1:7">
      <c r="A243" s="164" t="s">
        <v>561</v>
      </c>
      <c r="B243" s="194"/>
      <c r="C243" s="495" t="s">
        <v>542</v>
      </c>
      <c r="D243" s="496"/>
      <c r="E243" s="496"/>
      <c r="F243" s="497"/>
      <c r="G243" s="195">
        <v>2</v>
      </c>
    </row>
    <row r="244" spans="1:7">
      <c r="A244" s="164" t="s">
        <v>562</v>
      </c>
      <c r="B244" s="165"/>
      <c r="C244" s="495" t="s">
        <v>542</v>
      </c>
      <c r="D244" s="496"/>
      <c r="E244" s="496"/>
      <c r="F244" s="497"/>
      <c r="G244" s="195">
        <v>4</v>
      </c>
    </row>
    <row r="245" spans="1:7">
      <c r="A245" s="196" t="s">
        <v>563</v>
      </c>
      <c r="B245" s="165"/>
      <c r="C245" s="495" t="s">
        <v>542</v>
      </c>
      <c r="D245" s="496"/>
      <c r="E245" s="496"/>
      <c r="F245" s="497"/>
      <c r="G245" s="195">
        <v>12</v>
      </c>
    </row>
    <row r="246" spans="1:7">
      <c r="A246" s="188"/>
      <c r="B246" s="188"/>
      <c r="C246" s="188"/>
      <c r="D246" s="188"/>
      <c r="E246" s="188"/>
      <c r="F246" s="188"/>
      <c r="G246" s="188"/>
    </row>
    <row r="247" spans="1:7">
      <c r="A247" s="464" t="s">
        <v>564</v>
      </c>
      <c r="B247" s="465"/>
      <c r="C247" s="465"/>
      <c r="D247" s="465"/>
      <c r="E247" s="465"/>
      <c r="F247" s="465"/>
      <c r="G247" s="466"/>
    </row>
    <row r="248" spans="1:7">
      <c r="A248" s="161" t="s">
        <v>423</v>
      </c>
      <c r="B248" s="162"/>
      <c r="C248" s="162"/>
      <c r="D248" s="162"/>
      <c r="E248" s="162"/>
      <c r="F248" s="162"/>
      <c r="G248" s="162" t="s">
        <v>544</v>
      </c>
    </row>
    <row r="249" spans="1:7">
      <c r="A249" s="197" t="s">
        <v>565</v>
      </c>
      <c r="B249" s="165"/>
      <c r="C249" s="198"/>
      <c r="D249" s="198"/>
      <c r="E249" s="175" t="s">
        <v>566</v>
      </c>
      <c r="F249" s="175" t="s">
        <v>567</v>
      </c>
      <c r="G249" s="199" t="s">
        <v>568</v>
      </c>
    </row>
    <row r="250" spans="1:7">
      <c r="A250" s="180" t="s">
        <v>569</v>
      </c>
      <c r="B250" s="165"/>
      <c r="C250" s="187"/>
      <c r="D250" s="187"/>
      <c r="E250" s="176">
        <v>10</v>
      </c>
      <c r="F250" s="176">
        <v>0.9</v>
      </c>
      <c r="G250" s="200">
        <f>F250*E250</f>
        <v>9</v>
      </c>
    </row>
    <row r="251" spans="1:7">
      <c r="A251" s="180" t="s">
        <v>570</v>
      </c>
      <c r="B251" s="165"/>
      <c r="C251" s="187"/>
      <c r="D251" s="187"/>
      <c r="E251" s="176">
        <v>19</v>
      </c>
      <c r="F251" s="176">
        <v>1.7</v>
      </c>
      <c r="G251" s="200">
        <f>F251*E251</f>
        <v>32.299999999999997</v>
      </c>
    </row>
    <row r="252" spans="1:7">
      <c r="A252" s="164" t="s">
        <v>474</v>
      </c>
      <c r="B252" s="165"/>
      <c r="C252" s="187"/>
      <c r="D252" s="187"/>
      <c r="E252" s="176">
        <v>35</v>
      </c>
      <c r="F252" s="176">
        <v>2.6</v>
      </c>
      <c r="G252" s="200">
        <f>F252*E252</f>
        <v>91</v>
      </c>
    </row>
    <row r="253" spans="1:7">
      <c r="A253" s="164" t="s">
        <v>571</v>
      </c>
      <c r="B253" s="165"/>
      <c r="C253" s="187"/>
      <c r="D253" s="187"/>
      <c r="E253" s="176">
        <v>7</v>
      </c>
      <c r="F253" s="176">
        <v>1.7</v>
      </c>
      <c r="G253" s="200">
        <f>F253*E253</f>
        <v>11.9</v>
      </c>
    </row>
    <row r="254" spans="1:7">
      <c r="A254" s="164"/>
      <c r="B254" s="165"/>
      <c r="C254" s="165"/>
      <c r="D254" s="165"/>
      <c r="E254" s="498" t="s">
        <v>366</v>
      </c>
      <c r="F254" s="499"/>
      <c r="G254" s="201">
        <f>SUM(G250:G253)</f>
        <v>144.19999999999999</v>
      </c>
    </row>
    <row r="255" spans="1:7">
      <c r="A255" s="188"/>
      <c r="B255" s="188"/>
      <c r="C255" s="188"/>
      <c r="D255" s="188"/>
      <c r="E255" s="188"/>
      <c r="F255" s="188"/>
      <c r="G255" s="188"/>
    </row>
    <row r="256" spans="1:7">
      <c r="A256" s="464" t="s">
        <v>572</v>
      </c>
      <c r="B256" s="465"/>
      <c r="C256" s="465"/>
      <c r="D256" s="465"/>
      <c r="E256" s="465"/>
      <c r="F256" s="465"/>
      <c r="G256" s="466"/>
    </row>
    <row r="257" spans="1:9">
      <c r="A257" s="161" t="s">
        <v>423</v>
      </c>
      <c r="B257" s="162"/>
      <c r="C257" s="162"/>
      <c r="D257" s="162"/>
      <c r="E257" s="162" t="s">
        <v>456</v>
      </c>
      <c r="G257" s="162" t="s">
        <v>544</v>
      </c>
      <c r="I257" s="239"/>
    </row>
    <row r="258" spans="1:9">
      <c r="A258" s="197" t="s">
        <v>565</v>
      </c>
      <c r="B258" s="165"/>
      <c r="C258" s="198"/>
      <c r="D258" s="198"/>
      <c r="E258" s="187" t="s">
        <v>566</v>
      </c>
      <c r="F258" s="187" t="s">
        <v>567</v>
      </c>
      <c r="G258" s="192" t="s">
        <v>568</v>
      </c>
      <c r="I258" s="239"/>
    </row>
    <row r="259" spans="1:9">
      <c r="A259" s="164" t="s">
        <v>474</v>
      </c>
      <c r="B259" s="165"/>
      <c r="C259" s="187"/>
      <c r="D259" s="187"/>
      <c r="E259" s="176">
        <v>10</v>
      </c>
      <c r="F259" s="176">
        <v>2.6</v>
      </c>
      <c r="G259" s="200">
        <f>F259*E259</f>
        <v>26</v>
      </c>
      <c r="I259" s="239"/>
    </row>
    <row r="260" spans="1:9">
      <c r="A260" s="164" t="s">
        <v>573</v>
      </c>
      <c r="B260" s="165"/>
      <c r="C260" s="187"/>
      <c r="D260" s="187"/>
      <c r="E260" s="176">
        <v>1</v>
      </c>
      <c r="F260" s="176">
        <v>1.7</v>
      </c>
      <c r="G260" s="200">
        <f>F260*E260</f>
        <v>1.7</v>
      </c>
      <c r="I260" s="239"/>
    </row>
    <row r="261" spans="1:9">
      <c r="A261" s="164" t="s">
        <v>569</v>
      </c>
      <c r="B261" s="165"/>
      <c r="C261" s="187"/>
      <c r="D261" s="187"/>
      <c r="E261" s="176">
        <v>1</v>
      </c>
      <c r="F261" s="176">
        <v>0.9</v>
      </c>
      <c r="G261" s="200">
        <f>F261*E261</f>
        <v>0.9</v>
      </c>
      <c r="I261" s="239"/>
    </row>
    <row r="262" spans="1:9">
      <c r="A262" s="164"/>
      <c r="B262" s="165"/>
      <c r="C262" s="165"/>
      <c r="D262" s="165"/>
      <c r="E262" s="498" t="s">
        <v>366</v>
      </c>
      <c r="F262" s="499"/>
      <c r="G262" s="201">
        <f>SUM(G259:G261)</f>
        <v>28.6</v>
      </c>
      <c r="I262" s="239"/>
    </row>
    <row r="263" spans="1:9">
      <c r="A263" s="188"/>
      <c r="B263" s="188"/>
      <c r="C263" s="188"/>
      <c r="D263" s="188"/>
      <c r="E263" s="188"/>
      <c r="F263" s="188"/>
      <c r="G263" s="188"/>
    </row>
    <row r="264" spans="1:9">
      <c r="A264" s="464" t="s">
        <v>574</v>
      </c>
      <c r="B264" s="465"/>
      <c r="C264" s="465"/>
      <c r="D264" s="465"/>
      <c r="E264" s="465"/>
      <c r="F264" s="465"/>
      <c r="G264" s="466"/>
      <c r="I264" s="239"/>
    </row>
    <row r="265" spans="1:9">
      <c r="A265" s="161" t="s">
        <v>423</v>
      </c>
      <c r="B265" s="162"/>
      <c r="C265" s="162"/>
      <c r="D265" s="162" t="s">
        <v>534</v>
      </c>
      <c r="E265" s="99"/>
      <c r="F265" s="162" t="s">
        <v>575</v>
      </c>
      <c r="G265" s="162" t="s">
        <v>366</v>
      </c>
      <c r="I265" s="239"/>
    </row>
    <row r="266" spans="1:9" ht="22.5">
      <c r="A266" s="164" t="s">
        <v>312</v>
      </c>
      <c r="B266" s="165"/>
      <c r="C266" s="165"/>
      <c r="D266" s="165">
        <v>95</v>
      </c>
      <c r="E266" s="165"/>
      <c r="F266" s="202">
        <v>6.25E-2</v>
      </c>
      <c r="G266" s="165">
        <f>ROUND(D266*F266,2)</f>
        <v>5.94</v>
      </c>
      <c r="I266" s="239"/>
    </row>
    <row r="267" spans="1:9" ht="22.5">
      <c r="A267" s="164" t="s">
        <v>314</v>
      </c>
      <c r="B267" s="165"/>
      <c r="C267" s="165"/>
      <c r="D267" s="165">
        <v>61</v>
      </c>
      <c r="E267" s="165"/>
      <c r="F267" s="202">
        <f>0.25*0.25</f>
        <v>6.25E-2</v>
      </c>
      <c r="G267" s="165">
        <f>ROUND(D267*F267,2)</f>
        <v>3.81</v>
      </c>
      <c r="I267" s="239"/>
    </row>
    <row r="268" spans="1:9">
      <c r="A268" s="188"/>
      <c r="B268" s="188"/>
      <c r="C268" s="188"/>
      <c r="D268" s="188"/>
      <c r="E268" s="188"/>
      <c r="F268" s="188"/>
      <c r="G268" s="188"/>
      <c r="I268" s="239"/>
    </row>
    <row r="269" spans="1:9">
      <c r="A269" s="500" t="s">
        <v>576</v>
      </c>
      <c r="B269" s="501"/>
      <c r="C269" s="501"/>
      <c r="D269" s="501"/>
      <c r="E269" s="501"/>
      <c r="F269" s="501"/>
      <c r="G269" s="502"/>
      <c r="I269" s="239"/>
    </row>
    <row r="270" spans="1:9">
      <c r="A270" s="203" t="s">
        <v>423</v>
      </c>
      <c r="B270" s="204"/>
      <c r="C270" s="205" t="s">
        <v>567</v>
      </c>
      <c r="D270" s="205" t="s">
        <v>577</v>
      </c>
      <c r="E270" s="205" t="s">
        <v>578</v>
      </c>
      <c r="F270" s="204" t="s">
        <v>579</v>
      </c>
      <c r="G270" s="204" t="s">
        <v>580</v>
      </c>
      <c r="I270" s="239"/>
    </row>
    <row r="271" spans="1:9">
      <c r="A271" s="206" t="s">
        <v>581</v>
      </c>
      <c r="B271" s="207"/>
      <c r="C271" s="208">
        <f>1.3*2+1*2</f>
        <v>4.5999999999999996</v>
      </c>
      <c r="D271" s="208">
        <v>2.5</v>
      </c>
      <c r="E271" s="208"/>
      <c r="F271" s="207">
        <f>ROUND(C271*D271,2)</f>
        <v>11.5</v>
      </c>
      <c r="G271" s="207"/>
      <c r="I271" s="239"/>
    </row>
    <row r="272" spans="1:9">
      <c r="A272" s="206" t="s">
        <v>582</v>
      </c>
      <c r="B272" s="207"/>
      <c r="C272" s="208"/>
      <c r="D272" s="208"/>
      <c r="E272" s="208"/>
      <c r="F272" s="207">
        <v>1</v>
      </c>
      <c r="G272" s="207"/>
      <c r="I272" s="239"/>
    </row>
    <row r="273" spans="1:9">
      <c r="A273" s="209" t="s">
        <v>583</v>
      </c>
      <c r="B273" s="207"/>
      <c r="C273" s="208">
        <v>1.5</v>
      </c>
      <c r="D273" s="208"/>
      <c r="E273" s="208">
        <v>1.5</v>
      </c>
      <c r="F273" s="207">
        <v>2.25</v>
      </c>
      <c r="G273" s="207"/>
      <c r="I273" s="239"/>
    </row>
    <row r="274" spans="1:9">
      <c r="A274" s="206" t="s">
        <v>584</v>
      </c>
      <c r="B274" s="207"/>
      <c r="C274" s="208">
        <v>3.48</v>
      </c>
      <c r="D274" s="208">
        <v>0.15</v>
      </c>
      <c r="E274" s="208">
        <v>1.35</v>
      </c>
      <c r="F274" s="207"/>
      <c r="G274" s="207">
        <f>ROUND(C274*D274*E274,2)</f>
        <v>0.7</v>
      </c>
      <c r="I274" s="239"/>
    </row>
    <row r="275" spans="1:9">
      <c r="A275" s="188"/>
      <c r="B275" s="188"/>
      <c r="C275" s="188"/>
      <c r="D275" s="188"/>
      <c r="E275" s="188"/>
      <c r="F275" s="188"/>
      <c r="G275" s="188"/>
      <c r="I275" s="239"/>
    </row>
    <row r="276" spans="1:9">
      <c r="A276" s="464" t="s">
        <v>585</v>
      </c>
      <c r="B276" s="465"/>
      <c r="C276" s="465"/>
      <c r="D276" s="465"/>
      <c r="E276" s="465"/>
      <c r="F276" s="465"/>
      <c r="G276" s="466"/>
      <c r="I276" s="239"/>
    </row>
    <row r="277" spans="1:9">
      <c r="A277" s="161" t="s">
        <v>423</v>
      </c>
      <c r="B277" s="162"/>
      <c r="C277" s="162" t="s">
        <v>586</v>
      </c>
      <c r="D277" s="162" t="s">
        <v>431</v>
      </c>
      <c r="E277" s="162" t="s">
        <v>587</v>
      </c>
      <c r="F277" s="162"/>
      <c r="G277" s="162" t="s">
        <v>366</v>
      </c>
      <c r="I277" s="239"/>
    </row>
    <row r="278" spans="1:9">
      <c r="A278" s="210" t="s">
        <v>439</v>
      </c>
      <c r="B278" s="211"/>
      <c r="C278" s="211">
        <f>1.3*2+2*2</f>
        <v>6.6</v>
      </c>
      <c r="D278" s="211">
        <v>1.8</v>
      </c>
      <c r="E278" s="211">
        <f>0.8*1.8</f>
        <v>1.44</v>
      </c>
      <c r="F278" s="211"/>
      <c r="G278" s="211">
        <f>ROUND(C278*D278,2)-E278</f>
        <v>10.44</v>
      </c>
      <c r="I278" s="239"/>
    </row>
    <row r="279" spans="1:9">
      <c r="A279" s="210" t="s">
        <v>465</v>
      </c>
      <c r="B279" s="211"/>
      <c r="C279" s="211">
        <v>6.6</v>
      </c>
      <c r="D279" s="211">
        <v>1.8</v>
      </c>
      <c r="E279" s="211">
        <v>1.44</v>
      </c>
      <c r="F279" s="211"/>
      <c r="G279" s="211">
        <f t="shared" ref="G279:G284" si="11">ROUND(C279*D279,2)-E279</f>
        <v>10.44</v>
      </c>
      <c r="I279" s="239"/>
    </row>
    <row r="280" spans="1:9">
      <c r="A280" s="210" t="s">
        <v>466</v>
      </c>
      <c r="B280" s="211"/>
      <c r="C280" s="211">
        <f>1.25*2+2.25*2</f>
        <v>7</v>
      </c>
      <c r="D280" s="211">
        <v>1.8</v>
      </c>
      <c r="E280" s="211">
        <f>0.8*1.8</f>
        <v>1.44</v>
      </c>
      <c r="F280" s="211"/>
      <c r="G280" s="211">
        <f t="shared" si="11"/>
        <v>11.16</v>
      </c>
      <c r="I280" s="239"/>
    </row>
    <row r="281" spans="1:9">
      <c r="A281" s="210" t="s">
        <v>467</v>
      </c>
      <c r="B281" s="211"/>
      <c r="C281" s="211">
        <f>2.55+1.1+1+0.15+1+1+2.55+2.25</f>
        <v>11.6</v>
      </c>
      <c r="D281" s="211">
        <v>1.8</v>
      </c>
      <c r="E281" s="211">
        <v>1.44</v>
      </c>
      <c r="F281" s="211"/>
      <c r="G281" s="211">
        <f t="shared" si="11"/>
        <v>19.440000000000001</v>
      </c>
      <c r="I281" s="239"/>
    </row>
    <row r="282" spans="1:9">
      <c r="A282" s="210" t="s">
        <v>468</v>
      </c>
      <c r="B282" s="211"/>
      <c r="C282" s="211">
        <f>2.2*2+3.35*2</f>
        <v>11.1</v>
      </c>
      <c r="D282" s="211">
        <v>1.8</v>
      </c>
      <c r="E282" s="211">
        <v>1.44</v>
      </c>
      <c r="F282" s="211"/>
      <c r="G282" s="211">
        <f t="shared" si="11"/>
        <v>18.54</v>
      </c>
      <c r="I282" s="239"/>
    </row>
    <row r="283" spans="1:9">
      <c r="A283" s="210" t="s">
        <v>588</v>
      </c>
      <c r="B283" s="211"/>
      <c r="C283" s="211">
        <f>1.5*2+2.25*2</f>
        <v>7.5</v>
      </c>
      <c r="D283" s="211">
        <v>1.8</v>
      </c>
      <c r="E283" s="211">
        <v>1.62</v>
      </c>
      <c r="F283" s="211"/>
      <c r="G283" s="211">
        <f t="shared" si="11"/>
        <v>11.88</v>
      </c>
      <c r="I283" s="239"/>
    </row>
    <row r="284" spans="1:9">
      <c r="A284" s="210" t="s">
        <v>449</v>
      </c>
      <c r="B284" s="211"/>
      <c r="C284" s="211">
        <f>2.2*2+2.9*2</f>
        <v>10.199999999999999</v>
      </c>
      <c r="D284" s="211">
        <v>1.8</v>
      </c>
      <c r="E284" s="211">
        <f>0.8*1.8</f>
        <v>1.44</v>
      </c>
      <c r="F284" s="211"/>
      <c r="G284" s="211">
        <f t="shared" si="11"/>
        <v>16.920000000000002</v>
      </c>
      <c r="I284" s="239"/>
    </row>
    <row r="285" spans="1:9">
      <c r="A285" s="188"/>
      <c r="B285" s="188"/>
      <c r="C285" s="188"/>
      <c r="D285" s="188"/>
      <c r="E285" s="467" t="s">
        <v>366</v>
      </c>
      <c r="F285" s="469"/>
      <c r="G285" s="173">
        <f>SUM(G278:G284)</f>
        <v>98.82</v>
      </c>
      <c r="I285" s="239"/>
    </row>
    <row r="286" spans="1:9">
      <c r="A286" s="188"/>
      <c r="B286" s="188"/>
      <c r="C286" s="188"/>
      <c r="D286" s="188"/>
      <c r="E286" s="188"/>
      <c r="F286" s="188"/>
      <c r="G286" s="188"/>
      <c r="I286" s="239"/>
    </row>
    <row r="287" spans="1:9">
      <c r="A287" s="464" t="s">
        <v>589</v>
      </c>
      <c r="B287" s="465"/>
      <c r="C287" s="465"/>
      <c r="D287" s="465"/>
      <c r="E287" s="465"/>
      <c r="F287" s="465"/>
      <c r="G287" s="466"/>
      <c r="I287" s="239"/>
    </row>
    <row r="288" spans="1:9" ht="33.75">
      <c r="A288" s="212" t="s">
        <v>590</v>
      </c>
      <c r="B288" s="213" t="s">
        <v>9</v>
      </c>
      <c r="C288" s="213" t="s">
        <v>591</v>
      </c>
      <c r="D288" s="213" t="s">
        <v>592</v>
      </c>
      <c r="E288" s="213" t="s">
        <v>366</v>
      </c>
      <c r="F288" s="213" t="s">
        <v>593</v>
      </c>
      <c r="G288" s="214" t="s">
        <v>594</v>
      </c>
    </row>
    <row r="289" spans="1:15" ht="75">
      <c r="A289" s="215" t="s">
        <v>102</v>
      </c>
      <c r="B289" s="216">
        <v>180.07</v>
      </c>
      <c r="C289" s="217" t="s">
        <v>595</v>
      </c>
      <c r="D289" s="218"/>
      <c r="E289" s="219"/>
      <c r="F289" s="220" t="s">
        <v>596</v>
      </c>
      <c r="G289" s="219">
        <f>ROUND(B289*3/1000,2)</f>
        <v>0.54</v>
      </c>
    </row>
    <row r="290" spans="1:15" ht="30">
      <c r="A290" s="215" t="s">
        <v>86</v>
      </c>
      <c r="B290" s="218">
        <v>516.17999999999995</v>
      </c>
      <c r="C290" s="217" t="s">
        <v>597</v>
      </c>
      <c r="D290" s="218">
        <v>4.8899999999999999E-2</v>
      </c>
      <c r="E290" s="219">
        <f>ROUND(D290*B290,2)</f>
        <v>25.24</v>
      </c>
      <c r="F290" s="220" t="s">
        <v>598</v>
      </c>
      <c r="G290" s="219">
        <f>ROUND(E290*31.45/1000,2)</f>
        <v>0.79</v>
      </c>
    </row>
    <row r="291" spans="1:15" ht="60">
      <c r="A291" s="215" t="s">
        <v>89</v>
      </c>
      <c r="B291" s="221">
        <v>986.36</v>
      </c>
      <c r="C291" s="221" t="s">
        <v>599</v>
      </c>
      <c r="D291" s="221">
        <v>0.33</v>
      </c>
      <c r="E291" s="220">
        <f>B291*D291</f>
        <v>325.49880000000002</v>
      </c>
      <c r="F291" s="220" t="s">
        <v>600</v>
      </c>
      <c r="G291" s="220">
        <f>ROUND(E291*1.14/1000,2)</f>
        <v>0.37</v>
      </c>
      <c r="H291" s="157"/>
    </row>
    <row r="292" spans="1:15" ht="25.5" customHeight="1">
      <c r="A292" s="215" t="s">
        <v>67</v>
      </c>
      <c r="B292" s="221">
        <v>6.66</v>
      </c>
      <c r="C292" s="221" t="s">
        <v>601</v>
      </c>
      <c r="D292" s="221"/>
      <c r="E292" s="220"/>
      <c r="F292" s="220" t="s">
        <v>602</v>
      </c>
      <c r="G292" s="220">
        <f>ROUND(B292*3000*0.03/1000,2)</f>
        <v>0.6</v>
      </c>
      <c r="H292" s="157"/>
    </row>
    <row r="293" spans="1:15" ht="30">
      <c r="A293" s="215" t="s">
        <v>328</v>
      </c>
      <c r="B293" s="218">
        <v>180.05</v>
      </c>
      <c r="C293" s="217" t="s">
        <v>603</v>
      </c>
      <c r="D293" s="218">
        <v>0.11</v>
      </c>
      <c r="E293" s="219">
        <f>B293*D293</f>
        <v>19.805499999999999</v>
      </c>
      <c r="F293" s="220" t="s">
        <v>604</v>
      </c>
      <c r="G293" s="219">
        <f>ROUND(E293*1.19/1000,2)</f>
        <v>0.02</v>
      </c>
      <c r="H293" s="157"/>
    </row>
    <row r="294" spans="1:15" ht="22.5">
      <c r="A294" s="215" t="s">
        <v>151</v>
      </c>
      <c r="B294" s="221">
        <v>6</v>
      </c>
      <c r="C294" s="222" t="s">
        <v>605</v>
      </c>
      <c r="D294" s="223"/>
      <c r="E294" s="220">
        <f>B294*7</f>
        <v>42</v>
      </c>
      <c r="F294" s="221" t="s">
        <v>606</v>
      </c>
      <c r="G294" s="220">
        <f>ROUND(B294*20/1000,2)</f>
        <v>0.12</v>
      </c>
      <c r="H294" s="157"/>
    </row>
    <row r="295" spans="1:15" ht="30">
      <c r="A295" s="215" t="s">
        <v>114</v>
      </c>
      <c r="B295" s="221"/>
      <c r="C295" s="221" t="s">
        <v>607</v>
      </c>
      <c r="D295" s="221" t="s">
        <v>608</v>
      </c>
      <c r="E295" s="220">
        <f>B294*0.05</f>
        <v>0.3</v>
      </c>
      <c r="F295" s="220">
        <v>1700</v>
      </c>
      <c r="G295" s="220">
        <f t="shared" ref="G295" si="12">ROUND(E295*F295/1000,2)</f>
        <v>0.51</v>
      </c>
      <c r="H295" s="157"/>
    </row>
    <row r="296" spans="1:15" ht="39.75" customHeight="1">
      <c r="A296" s="215" t="s">
        <v>146</v>
      </c>
      <c r="B296" s="221">
        <v>6</v>
      </c>
      <c r="C296" s="222" t="s">
        <v>553</v>
      </c>
      <c r="D296" s="221"/>
      <c r="E296" s="220"/>
      <c r="F296" s="224" t="s">
        <v>609</v>
      </c>
      <c r="G296" s="220">
        <f>ROUND(B296*15/1000,2)</f>
        <v>0.09</v>
      </c>
      <c r="H296" s="157"/>
      <c r="I296" s="239"/>
      <c r="N296" s="99">
        <f>28/18</f>
        <v>1.55555555555556</v>
      </c>
      <c r="O296" s="99" t="s">
        <v>610</v>
      </c>
    </row>
    <row r="297" spans="1:15" ht="39.75" customHeight="1">
      <c r="A297" s="215" t="s">
        <v>611</v>
      </c>
      <c r="B297" s="225"/>
      <c r="C297" s="226"/>
      <c r="D297" s="225"/>
      <c r="E297" s="227"/>
      <c r="F297" s="228"/>
      <c r="G297" s="220">
        <v>0.22</v>
      </c>
      <c r="H297" s="157"/>
      <c r="I297" s="239"/>
      <c r="O297" s="99">
        <f>0.88*'PB III - Planilha Orçamentaria'!E51</f>
        <v>454.23487999999998</v>
      </c>
    </row>
    <row r="298" spans="1:15">
      <c r="A298" s="229"/>
      <c r="B298" s="230"/>
      <c r="C298" s="231"/>
      <c r="D298" s="230"/>
      <c r="E298" s="467" t="s">
        <v>366</v>
      </c>
      <c r="F298" s="469"/>
      <c r="G298" s="173">
        <f>SUM(G289:G297)</f>
        <v>3.26</v>
      </c>
      <c r="H298" s="157"/>
      <c r="I298" s="239"/>
    </row>
    <row r="299" spans="1:15">
      <c r="A299" s="229"/>
      <c r="B299" s="230"/>
      <c r="C299" s="231"/>
      <c r="D299" s="230"/>
      <c r="E299" s="231"/>
      <c r="F299" s="231"/>
      <c r="G299" s="231"/>
      <c r="H299" s="157"/>
      <c r="I299" s="239"/>
    </row>
    <row r="300" spans="1:15">
      <c r="A300" s="232"/>
      <c r="B300" s="233"/>
      <c r="C300" s="234"/>
      <c r="D300" s="233" t="s">
        <v>612</v>
      </c>
      <c r="E300" s="234"/>
      <c r="F300" s="235">
        <v>343.6</v>
      </c>
      <c r="G300" s="236" t="s">
        <v>613</v>
      </c>
      <c r="H300" s="157"/>
      <c r="I300" s="239"/>
    </row>
    <row r="301" spans="1:15">
      <c r="A301" s="232"/>
      <c r="B301" s="233"/>
      <c r="C301" s="234"/>
      <c r="D301" s="233"/>
      <c r="E301" s="234"/>
      <c r="F301" s="234"/>
      <c r="G301" s="234"/>
      <c r="H301" s="157"/>
      <c r="I301" s="239"/>
    </row>
    <row r="302" spans="1:15">
      <c r="A302" s="232"/>
      <c r="B302" s="233"/>
      <c r="C302" s="234"/>
      <c r="D302" s="233"/>
      <c r="E302" s="234" t="s">
        <v>614</v>
      </c>
      <c r="F302" s="234"/>
      <c r="G302" s="234">
        <f>F300*G298</f>
        <v>1120.136</v>
      </c>
      <c r="H302" s="157"/>
      <c r="I302" s="239"/>
    </row>
    <row r="303" spans="1:15">
      <c r="A303" s="237"/>
      <c r="B303" s="237"/>
      <c r="C303" s="237"/>
      <c r="D303" s="237"/>
      <c r="E303" s="237"/>
      <c r="F303" s="237"/>
      <c r="G303" s="238"/>
    </row>
  </sheetData>
  <mergeCells count="134">
    <mergeCell ref="E262:F262"/>
    <mergeCell ref="A264:G264"/>
    <mergeCell ref="A269:G269"/>
    <mergeCell ref="A276:G276"/>
    <mergeCell ref="E285:F285"/>
    <mergeCell ref="A287:G287"/>
    <mergeCell ref="E298:F298"/>
    <mergeCell ref="C240:F240"/>
    <mergeCell ref="C241:F241"/>
    <mergeCell ref="C242:F242"/>
    <mergeCell ref="C243:F243"/>
    <mergeCell ref="C244:F244"/>
    <mergeCell ref="C245:F245"/>
    <mergeCell ref="A247:G247"/>
    <mergeCell ref="E254:F254"/>
    <mergeCell ref="A256:G256"/>
    <mergeCell ref="A227:G227"/>
    <mergeCell ref="E229:F229"/>
    <mergeCell ref="A230:G230"/>
    <mergeCell ref="E232:F232"/>
    <mergeCell ref="A233:G233"/>
    <mergeCell ref="E235:F235"/>
    <mergeCell ref="A236:G236"/>
    <mergeCell ref="A237:G237"/>
    <mergeCell ref="C239:F239"/>
    <mergeCell ref="C199:F199"/>
    <mergeCell ref="A202:G202"/>
    <mergeCell ref="C204:F204"/>
    <mergeCell ref="C205:F205"/>
    <mergeCell ref="C208:F208"/>
    <mergeCell ref="A211:G211"/>
    <mergeCell ref="A213:G213"/>
    <mergeCell ref="E222:F222"/>
    <mergeCell ref="A223:G223"/>
    <mergeCell ref="E169:F169"/>
    <mergeCell ref="A171:G171"/>
    <mergeCell ref="A177:F177"/>
    <mergeCell ref="A180:F180"/>
    <mergeCell ref="A186:F186"/>
    <mergeCell ref="A189:F189"/>
    <mergeCell ref="A192:F192"/>
    <mergeCell ref="A194:G194"/>
    <mergeCell ref="C196:F196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9:D169"/>
    <mergeCell ref="A151:G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26:D126"/>
    <mergeCell ref="E126:F126"/>
    <mergeCell ref="A127:G127"/>
    <mergeCell ref="D128:E128"/>
    <mergeCell ref="A145:D145"/>
    <mergeCell ref="E145:F145"/>
    <mergeCell ref="A146:G146"/>
    <mergeCell ref="B148:D148"/>
    <mergeCell ref="A149:D149"/>
    <mergeCell ref="E149:F149"/>
    <mergeCell ref="A89:G89"/>
    <mergeCell ref="A96:G96"/>
    <mergeCell ref="A98:G98"/>
    <mergeCell ref="A110:D110"/>
    <mergeCell ref="E110:F110"/>
    <mergeCell ref="A111:G111"/>
    <mergeCell ref="A118:D118"/>
    <mergeCell ref="E118:F118"/>
    <mergeCell ref="A119:G119"/>
    <mergeCell ref="A74:G74"/>
    <mergeCell ref="A75:B75"/>
    <mergeCell ref="A77:D77"/>
    <mergeCell ref="E77:F77"/>
    <mergeCell ref="A78:G78"/>
    <mergeCell ref="A80:G80"/>
    <mergeCell ref="E83:F83"/>
    <mergeCell ref="E86:F86"/>
    <mergeCell ref="A87:G87"/>
    <mergeCell ref="C57:D57"/>
    <mergeCell ref="A58:G58"/>
    <mergeCell ref="A59:B59"/>
    <mergeCell ref="A65:D65"/>
    <mergeCell ref="E65:F65"/>
    <mergeCell ref="A66:G66"/>
    <mergeCell ref="A67:B67"/>
    <mergeCell ref="A73:D73"/>
    <mergeCell ref="E73:F73"/>
    <mergeCell ref="A44:G44"/>
    <mergeCell ref="E45:F45"/>
    <mergeCell ref="E46:F46"/>
    <mergeCell ref="E47:F47"/>
    <mergeCell ref="E48:F48"/>
    <mergeCell ref="A49:D49"/>
    <mergeCell ref="E49:F49"/>
    <mergeCell ref="A50:G50"/>
    <mergeCell ref="A51:B51"/>
    <mergeCell ref="A35:B35"/>
    <mergeCell ref="A36:B36"/>
    <mergeCell ref="A37:B37"/>
    <mergeCell ref="A38:B38"/>
    <mergeCell ref="A39:B39"/>
    <mergeCell ref="A40:B40"/>
    <mergeCell ref="A42:B42"/>
    <mergeCell ref="A43:D43"/>
    <mergeCell ref="E43:F4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1:G1"/>
    <mergeCell ref="A3:G3"/>
    <mergeCell ref="A5:G5"/>
    <mergeCell ref="A7:G7"/>
    <mergeCell ref="A13:G13"/>
    <mergeCell ref="A15:G15"/>
    <mergeCell ref="A22:G22"/>
    <mergeCell ref="A24:G24"/>
    <mergeCell ref="A25:B25"/>
  </mergeCells>
  <printOptions horizontalCentered="1"/>
  <pageMargins left="0.39305555555555599" right="0" top="1.4166666666666701" bottom="0.39305555555555599" header="0" footer="0"/>
  <pageSetup paperSize="9" scale="95" orientation="portrait" r:id="rId1"/>
  <headerFooter>
    <oddHeader>&amp;C&amp;9&amp;G
DEFENSORIA PÚBLICA DO ESTADO DE RORAIMA
“Amazônia: Patrimônio dos brasileiros”
____________________________________________________________________________________________________</oddHeader>
    <oddFooter>&amp;C&amp;"Arial,Normal"&amp;9Página &amp;P de &amp;N</oddFooter>
  </headerFooter>
  <rowBreaks count="1" manualBreakCount="1">
    <brk id="261" max="6" man="1"/>
  </rowBreaks>
  <colBreaks count="1" manualBreakCount="1">
    <brk id="7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K295"/>
  <sheetViews>
    <sheetView view="pageBreakPreview" zoomScale="85" zoomScaleSheetLayoutView="85" workbookViewId="0">
      <selection activeCell="F288" sqref="F288"/>
    </sheetView>
  </sheetViews>
  <sheetFormatPr defaultColWidth="9" defaultRowHeight="15"/>
  <cols>
    <col min="1" max="1" width="11.140625" style="11" customWidth="1"/>
    <col min="2" max="2" width="55.140625" style="11" customWidth="1"/>
    <col min="3" max="3" width="6.85546875" style="11" customWidth="1"/>
    <col min="4" max="4" width="9.28515625" style="11" customWidth="1"/>
    <col min="5" max="5" width="9.42578125" style="11" customWidth="1"/>
    <col min="6" max="6" width="9.140625" style="11" customWidth="1"/>
    <col min="7" max="16384" width="9" style="40"/>
  </cols>
  <sheetData>
    <row r="1" spans="1:10" ht="15.75">
      <c r="A1" s="503" t="s">
        <v>615</v>
      </c>
      <c r="B1" s="503"/>
      <c r="C1" s="503"/>
      <c r="D1" s="503"/>
      <c r="E1" s="503"/>
      <c r="F1" s="503"/>
      <c r="G1" s="98"/>
      <c r="H1" s="99"/>
      <c r="I1" s="99"/>
      <c r="J1" s="99"/>
    </row>
    <row r="2" spans="1:10" ht="5.0999999999999996" customHeight="1">
      <c r="A2" s="504"/>
      <c r="B2" s="505"/>
      <c r="C2" s="505"/>
      <c r="D2" s="505"/>
      <c r="E2" s="505"/>
      <c r="F2" s="506"/>
      <c r="G2" s="99"/>
      <c r="H2" s="99"/>
      <c r="I2" s="99"/>
      <c r="J2" s="99"/>
    </row>
    <row r="3" spans="1:10" ht="30" customHeight="1">
      <c r="A3" s="507" t="str">
        <f>'PB III - Planilha Orçamentaria'!A4:G4</f>
        <v>OBRA: REFORMA DA SEDE DA DEFENSORIA PÚBLICA DO ESTADO DE RORAIMA NO MUNICIPIO DE SÃO LUIZ DO ANAUA - DPE/RR</v>
      </c>
      <c r="B3" s="507"/>
      <c r="C3" s="507"/>
      <c r="D3" s="507"/>
      <c r="E3" s="507"/>
      <c r="F3" s="507"/>
      <c r="G3" s="99"/>
      <c r="H3" s="99"/>
      <c r="I3" s="99"/>
      <c r="J3" s="99"/>
    </row>
    <row r="4" spans="1:10" ht="5.0999999999999996" customHeight="1">
      <c r="A4" s="508"/>
      <c r="B4" s="509"/>
      <c r="C4" s="509"/>
      <c r="D4" s="509"/>
      <c r="E4" s="509"/>
      <c r="F4" s="510"/>
      <c r="G4" s="100"/>
      <c r="H4" s="99"/>
      <c r="I4" s="99"/>
      <c r="J4" s="99"/>
    </row>
    <row r="5" spans="1:10" ht="4.5" customHeight="1">
      <c r="A5" s="504"/>
      <c r="B5" s="505"/>
      <c r="C5" s="505"/>
      <c r="D5" s="505"/>
      <c r="E5" s="505"/>
      <c r="F5" s="506"/>
      <c r="G5" s="99"/>
      <c r="H5" s="99"/>
      <c r="I5" s="99"/>
      <c r="J5" s="99"/>
    </row>
    <row r="6" spans="1:10">
      <c r="A6" s="511" t="str">
        <f>'PB III - Planilha Orçamentaria'!A6:G6</f>
        <v>ENDEREÇO: Av. Joao Rodrigues com Rua Dante de Oliveira, Cidade: São Luiz do Anaua/RR</v>
      </c>
      <c r="B6" s="511"/>
      <c r="C6" s="511"/>
      <c r="D6" s="511"/>
      <c r="E6" s="511"/>
      <c r="F6" s="511"/>
    </row>
    <row r="7" spans="1:10">
      <c r="A7" s="512"/>
      <c r="B7" s="512"/>
      <c r="C7" s="512"/>
      <c r="D7" s="512"/>
      <c r="E7" s="512"/>
      <c r="F7" s="512"/>
    </row>
    <row r="8" spans="1:10" ht="24">
      <c r="A8" s="101" t="s">
        <v>407</v>
      </c>
      <c r="B8" s="513" t="s">
        <v>616</v>
      </c>
      <c r="C8" s="514"/>
      <c r="D8" s="515"/>
      <c r="E8" s="102" t="s">
        <v>617</v>
      </c>
      <c r="F8" s="102" t="s">
        <v>618</v>
      </c>
    </row>
    <row r="9" spans="1:10">
      <c r="A9" s="103" t="s">
        <v>619</v>
      </c>
      <c r="B9" s="104" t="s">
        <v>620</v>
      </c>
      <c r="C9" s="104" t="s">
        <v>621</v>
      </c>
      <c r="D9" s="104" t="s">
        <v>9</v>
      </c>
      <c r="E9" s="104" t="s">
        <v>10</v>
      </c>
      <c r="F9" s="104" t="s">
        <v>11</v>
      </c>
    </row>
    <row r="10" spans="1:10" ht="24">
      <c r="A10" s="105">
        <v>88267</v>
      </c>
      <c r="B10" s="105" t="s">
        <v>622</v>
      </c>
      <c r="C10" s="106" t="s">
        <v>623</v>
      </c>
      <c r="D10" s="107">
        <v>3</v>
      </c>
      <c r="E10" s="108">
        <v>21.2</v>
      </c>
      <c r="F10" s="109">
        <f>ROUND(D10*E10,2)</f>
        <v>63.6</v>
      </c>
    </row>
    <row r="11" spans="1:10" ht="24">
      <c r="A11" s="105">
        <v>88248</v>
      </c>
      <c r="B11" s="105" t="s">
        <v>624</v>
      </c>
      <c r="C11" s="106" t="s">
        <v>623</v>
      </c>
      <c r="D11" s="107">
        <v>3</v>
      </c>
      <c r="E11" s="108">
        <v>17.09</v>
      </c>
      <c r="F11" s="109">
        <f>ROUND(D11*E11,2)</f>
        <v>51.27</v>
      </c>
    </row>
    <row r="12" spans="1:10" ht="36">
      <c r="A12" s="105">
        <v>89402</v>
      </c>
      <c r="B12" s="105" t="s">
        <v>625</v>
      </c>
      <c r="C12" s="106" t="s">
        <v>55</v>
      </c>
      <c r="D12" s="107">
        <v>10</v>
      </c>
      <c r="E12" s="108">
        <v>6.47</v>
      </c>
      <c r="F12" s="109">
        <f>ROUND(D12*E12,2)</f>
        <v>64.7</v>
      </c>
    </row>
    <row r="13" spans="1:10">
      <c r="A13" s="110"/>
      <c r="B13" s="110"/>
      <c r="C13" s="111"/>
      <c r="D13" s="516" t="s">
        <v>366</v>
      </c>
      <c r="E13" s="516"/>
      <c r="F13" s="112">
        <f>SUM(F10:F12)</f>
        <v>179.57</v>
      </c>
    </row>
    <row r="14" spans="1:10">
      <c r="D14" s="113"/>
      <c r="E14" s="114"/>
      <c r="F14" s="115"/>
    </row>
    <row r="15" spans="1:10" ht="24">
      <c r="A15" s="101" t="s">
        <v>409</v>
      </c>
      <c r="B15" s="513" t="s">
        <v>626</v>
      </c>
      <c r="C15" s="514"/>
      <c r="D15" s="515"/>
      <c r="E15" s="102" t="s">
        <v>617</v>
      </c>
      <c r="F15" s="102" t="s">
        <v>618</v>
      </c>
    </row>
    <row r="16" spans="1:10">
      <c r="A16" s="103" t="s">
        <v>619</v>
      </c>
      <c r="B16" s="104" t="s">
        <v>620</v>
      </c>
      <c r="C16" s="104" t="s">
        <v>621</v>
      </c>
      <c r="D16" s="104" t="s">
        <v>9</v>
      </c>
      <c r="E16" s="104" t="s">
        <v>10</v>
      </c>
      <c r="F16" s="104" t="s">
        <v>11</v>
      </c>
    </row>
    <row r="17" spans="1:6">
      <c r="A17" s="116" t="s">
        <v>627</v>
      </c>
      <c r="B17" s="117" t="s">
        <v>628</v>
      </c>
      <c r="C17" s="116" t="s">
        <v>629</v>
      </c>
      <c r="D17" s="118">
        <v>1.7</v>
      </c>
      <c r="E17" s="118">
        <v>20.92</v>
      </c>
      <c r="F17" s="119">
        <f>ROUND(D17*E17,2)</f>
        <v>35.56</v>
      </c>
    </row>
    <row r="18" spans="1:6">
      <c r="A18" s="116" t="s">
        <v>630</v>
      </c>
      <c r="B18" s="117" t="s">
        <v>631</v>
      </c>
      <c r="C18" s="116" t="s">
        <v>629</v>
      </c>
      <c r="D18" s="118">
        <v>1.2</v>
      </c>
      <c r="E18" s="118">
        <v>21.24</v>
      </c>
      <c r="F18" s="119">
        <f>ROUND(D18*E18,2)</f>
        <v>25.49</v>
      </c>
    </row>
    <row r="19" spans="1:6">
      <c r="D19" s="516" t="s">
        <v>366</v>
      </c>
      <c r="E19" s="516"/>
      <c r="F19" s="112">
        <f>SUM(F17:F18)</f>
        <v>61.05</v>
      </c>
    </row>
    <row r="20" spans="1:6">
      <c r="A20" s="110"/>
      <c r="B20" s="110"/>
      <c r="C20" s="111"/>
      <c r="E20" s="120"/>
      <c r="F20" s="111"/>
    </row>
    <row r="21" spans="1:6" ht="24">
      <c r="A21" s="101" t="s">
        <v>404</v>
      </c>
      <c r="B21" s="513" t="s">
        <v>405</v>
      </c>
      <c r="C21" s="514"/>
      <c r="D21" s="515"/>
      <c r="E21" s="102" t="s">
        <v>617</v>
      </c>
      <c r="F21" s="102" t="s">
        <v>618</v>
      </c>
    </row>
    <row r="22" spans="1:6">
      <c r="A22" s="103" t="s">
        <v>619</v>
      </c>
      <c r="B22" s="104" t="s">
        <v>620</v>
      </c>
      <c r="C22" s="104" t="s">
        <v>621</v>
      </c>
      <c r="D22" s="104" t="s">
        <v>9</v>
      </c>
      <c r="E22" s="104" t="s">
        <v>10</v>
      </c>
      <c r="F22" s="104" t="s">
        <v>11</v>
      </c>
    </row>
    <row r="23" spans="1:6">
      <c r="A23" s="105">
        <v>88316</v>
      </c>
      <c r="B23" s="105" t="s">
        <v>632</v>
      </c>
      <c r="C23" s="105" t="s">
        <v>623</v>
      </c>
      <c r="D23" s="107">
        <v>6</v>
      </c>
      <c r="E23" s="108">
        <v>14.55</v>
      </c>
      <c r="F23" s="109">
        <f>ROUND(D23*E23,2)</f>
        <v>87.3</v>
      </c>
    </row>
    <row r="24" spans="1:6">
      <c r="A24" s="105">
        <v>88264</v>
      </c>
      <c r="B24" s="105" t="s">
        <v>633</v>
      </c>
      <c r="C24" s="105" t="s">
        <v>623</v>
      </c>
      <c r="D24" s="107">
        <v>2.5</v>
      </c>
      <c r="E24" s="108">
        <v>21.45</v>
      </c>
      <c r="F24" s="109">
        <f>ROUND(D24*E24,2)</f>
        <v>53.63</v>
      </c>
    </row>
    <row r="25" spans="1:6" ht="48">
      <c r="A25" s="105">
        <v>91634</v>
      </c>
      <c r="B25" s="105" t="s">
        <v>634</v>
      </c>
      <c r="C25" s="105" t="s">
        <v>635</v>
      </c>
      <c r="D25" s="107">
        <v>1.375</v>
      </c>
      <c r="E25" s="108">
        <v>104.29</v>
      </c>
      <c r="F25" s="109">
        <f>ROUND(D25*E25,2)</f>
        <v>143.4</v>
      </c>
    </row>
    <row r="26" spans="1:6">
      <c r="D26" s="516" t="s">
        <v>366</v>
      </c>
      <c r="E26" s="516"/>
      <c r="F26" s="112">
        <f>SUM(F23:F25)</f>
        <v>284.33</v>
      </c>
    </row>
    <row r="27" spans="1:6">
      <c r="D27" s="113"/>
      <c r="E27" s="114"/>
      <c r="F27" s="115"/>
    </row>
    <row r="28" spans="1:6" ht="24">
      <c r="A28" s="101" t="s">
        <v>389</v>
      </c>
      <c r="B28" s="513" t="s">
        <v>636</v>
      </c>
      <c r="C28" s="514"/>
      <c r="D28" s="515"/>
      <c r="E28" s="102" t="s">
        <v>617</v>
      </c>
      <c r="F28" s="102" t="s">
        <v>504</v>
      </c>
    </row>
    <row r="29" spans="1:6">
      <c r="A29" s="103" t="s">
        <v>619</v>
      </c>
      <c r="B29" s="104" t="s">
        <v>620</v>
      </c>
      <c r="C29" s="104" t="s">
        <v>621</v>
      </c>
      <c r="D29" s="104" t="s">
        <v>9</v>
      </c>
      <c r="E29" s="104" t="s">
        <v>10</v>
      </c>
      <c r="F29" s="104" t="s">
        <v>11</v>
      </c>
    </row>
    <row r="30" spans="1:6" ht="24">
      <c r="A30" s="105">
        <v>3767</v>
      </c>
      <c r="B30" s="105" t="s">
        <v>637</v>
      </c>
      <c r="C30" s="106" t="s">
        <v>618</v>
      </c>
      <c r="D30" s="107">
        <v>0.3</v>
      </c>
      <c r="E30" s="108">
        <v>0.36</v>
      </c>
      <c r="F30" s="109">
        <f>ROUND(D30*E30,2)</f>
        <v>0.11</v>
      </c>
    </row>
    <row r="31" spans="1:6">
      <c r="A31" s="105">
        <v>88316</v>
      </c>
      <c r="B31" s="105" t="s">
        <v>638</v>
      </c>
      <c r="C31" s="106" t="s">
        <v>623</v>
      </c>
      <c r="D31" s="107">
        <v>0.185</v>
      </c>
      <c r="E31" s="108">
        <v>14.55</v>
      </c>
      <c r="F31" s="109">
        <f>ROUND(D31*E31,2)</f>
        <v>2.69</v>
      </c>
    </row>
    <row r="32" spans="1:6">
      <c r="A32" s="121"/>
      <c r="B32" s="122"/>
      <c r="C32" s="123"/>
      <c r="D32" s="516" t="s">
        <v>366</v>
      </c>
      <c r="E32" s="516"/>
      <c r="F32" s="112">
        <f>SUM(F30:F31)</f>
        <v>2.8</v>
      </c>
    </row>
    <row r="33" spans="1:11">
      <c r="A33" s="124"/>
      <c r="B33" s="124"/>
      <c r="C33" s="124"/>
      <c r="D33" s="124"/>
      <c r="E33" s="125"/>
      <c r="F33" s="124"/>
    </row>
    <row r="34" spans="1:11" ht="24">
      <c r="A34" s="101" t="s">
        <v>382</v>
      </c>
      <c r="B34" s="513" t="s">
        <v>639</v>
      </c>
      <c r="C34" s="514"/>
      <c r="D34" s="515"/>
      <c r="E34" s="102" t="s">
        <v>617</v>
      </c>
      <c r="F34" s="102" t="s">
        <v>504</v>
      </c>
    </row>
    <row r="35" spans="1:11">
      <c r="A35" s="103" t="s">
        <v>619</v>
      </c>
      <c r="B35" s="104" t="s">
        <v>620</v>
      </c>
      <c r="C35" s="104" t="s">
        <v>621</v>
      </c>
      <c r="D35" s="104" t="s">
        <v>9</v>
      </c>
      <c r="E35" s="104" t="s">
        <v>10</v>
      </c>
      <c r="F35" s="104" t="s">
        <v>11</v>
      </c>
    </row>
    <row r="36" spans="1:11" ht="24">
      <c r="A36" s="126" t="str">
        <f>'PB VII - Cotações'!A72</f>
        <v>COTAÇÃO 016</v>
      </c>
      <c r="B36" s="127" t="s">
        <v>639</v>
      </c>
      <c r="C36" s="126" t="s">
        <v>18</v>
      </c>
      <c r="D36" s="128">
        <v>1</v>
      </c>
      <c r="E36" s="129">
        <f>'PB VII - Cotações'!F74</f>
        <v>83.96</v>
      </c>
      <c r="F36" s="109">
        <f>ROUND(D36*E36,2)</f>
        <v>83.96</v>
      </c>
    </row>
    <row r="37" spans="1:11">
      <c r="A37" s="110"/>
      <c r="B37" s="110"/>
      <c r="C37" s="111"/>
      <c r="D37" s="516" t="s">
        <v>366</v>
      </c>
      <c r="E37" s="516"/>
      <c r="F37" s="112">
        <f>SUM(F36:F36)</f>
        <v>83.96</v>
      </c>
    </row>
    <row r="38" spans="1:11">
      <c r="A38" s="124"/>
      <c r="B38" s="124"/>
      <c r="C38" s="124"/>
      <c r="D38" s="124"/>
      <c r="E38" s="125"/>
      <c r="F38" s="124"/>
    </row>
    <row r="39" spans="1:11" ht="24">
      <c r="A39" s="101" t="s">
        <v>384</v>
      </c>
      <c r="B39" s="513" t="s">
        <v>640</v>
      </c>
      <c r="C39" s="514"/>
      <c r="D39" s="515"/>
      <c r="E39" s="102" t="s">
        <v>641</v>
      </c>
      <c r="F39" s="102" t="s">
        <v>621</v>
      </c>
    </row>
    <row r="40" spans="1:11">
      <c r="A40" s="103" t="s">
        <v>619</v>
      </c>
      <c r="B40" s="104" t="s">
        <v>620</v>
      </c>
      <c r="C40" s="104" t="s">
        <v>621</v>
      </c>
      <c r="D40" s="104" t="s">
        <v>9</v>
      </c>
      <c r="E40" s="104" t="s">
        <v>10</v>
      </c>
      <c r="F40" s="104" t="s">
        <v>11</v>
      </c>
    </row>
    <row r="41" spans="1:11">
      <c r="A41" s="130" t="s">
        <v>642</v>
      </c>
      <c r="B41" s="116" t="s">
        <v>643</v>
      </c>
      <c r="C41" s="131" t="s">
        <v>629</v>
      </c>
      <c r="D41" s="130">
        <v>0.45</v>
      </c>
      <c r="E41" s="132">
        <v>18.88</v>
      </c>
      <c r="F41" s="133">
        <f>ROUND(D41*E41,2)</f>
        <v>8.5</v>
      </c>
    </row>
    <row r="42" spans="1:11" ht="63.75">
      <c r="A42" s="130" t="s">
        <v>644</v>
      </c>
      <c r="B42" s="116" t="s">
        <v>645</v>
      </c>
      <c r="C42" s="131" t="s">
        <v>646</v>
      </c>
      <c r="D42" s="130">
        <v>2</v>
      </c>
      <c r="E42" s="132">
        <v>236.67</v>
      </c>
      <c r="F42" s="133">
        <f t="shared" ref="F42:F45" si="0">ROUND(D42*E42,2)</f>
        <v>473.34</v>
      </c>
    </row>
    <row r="43" spans="1:11" ht="25.5">
      <c r="A43" s="130" t="s">
        <v>647</v>
      </c>
      <c r="B43" s="116" t="s">
        <v>648</v>
      </c>
      <c r="C43" s="134" t="s">
        <v>504</v>
      </c>
      <c r="D43" s="130">
        <v>6.5</v>
      </c>
      <c r="E43" s="132">
        <v>183.98</v>
      </c>
      <c r="F43" s="133">
        <f t="shared" si="0"/>
        <v>1195.8699999999999</v>
      </c>
    </row>
    <row r="44" spans="1:11">
      <c r="A44" s="130" t="s">
        <v>649</v>
      </c>
      <c r="B44" s="116" t="s">
        <v>650</v>
      </c>
      <c r="C44" s="131" t="s">
        <v>621</v>
      </c>
      <c r="D44" s="130">
        <v>2</v>
      </c>
      <c r="E44" s="132">
        <v>706.27</v>
      </c>
      <c r="F44" s="133">
        <f t="shared" si="0"/>
        <v>1412.54</v>
      </c>
    </row>
    <row r="45" spans="1:11" ht="25.5">
      <c r="A45" s="130" t="s">
        <v>651</v>
      </c>
      <c r="B45" s="116" t="s">
        <v>652</v>
      </c>
      <c r="C45" s="131" t="s">
        <v>621</v>
      </c>
      <c r="D45" s="130">
        <v>2</v>
      </c>
      <c r="E45" s="132">
        <v>7.82</v>
      </c>
      <c r="F45" s="133">
        <f t="shared" si="0"/>
        <v>15.64</v>
      </c>
    </row>
    <row r="46" spans="1:11">
      <c r="A46" s="135"/>
      <c r="B46" s="136"/>
      <c r="C46" s="136"/>
      <c r="D46" s="516" t="s">
        <v>366</v>
      </c>
      <c r="E46" s="516"/>
      <c r="F46" s="112">
        <f>SUM(F41:F45)</f>
        <v>3105.89</v>
      </c>
    </row>
    <row r="47" spans="1:11">
      <c r="A47" s="124"/>
      <c r="B47" s="124"/>
      <c r="C47" s="124"/>
      <c r="D47" s="124"/>
      <c r="E47" s="125"/>
      <c r="F47" s="124"/>
    </row>
    <row r="48" spans="1:11" ht="24">
      <c r="A48" s="101" t="s">
        <v>415</v>
      </c>
      <c r="B48" s="513" t="s">
        <v>653</v>
      </c>
      <c r="C48" s="514"/>
      <c r="D48" s="515"/>
      <c r="E48" s="102" t="s">
        <v>617</v>
      </c>
      <c r="F48" s="102" t="s">
        <v>618</v>
      </c>
      <c r="I48" s="124"/>
      <c r="J48" s="124"/>
      <c r="K48" s="124"/>
    </row>
    <row r="49" spans="1:11">
      <c r="A49" s="103" t="s">
        <v>619</v>
      </c>
      <c r="B49" s="104" t="s">
        <v>620</v>
      </c>
      <c r="C49" s="104" t="s">
        <v>621</v>
      </c>
      <c r="D49" s="104" t="s">
        <v>9</v>
      </c>
      <c r="E49" s="104" t="s">
        <v>10</v>
      </c>
      <c r="F49" s="104" t="s">
        <v>11</v>
      </c>
      <c r="I49" s="124"/>
      <c r="J49" s="124"/>
      <c r="K49" s="124"/>
    </row>
    <row r="50" spans="1:11">
      <c r="A50" s="105">
        <v>88316</v>
      </c>
      <c r="B50" s="105" t="s">
        <v>638</v>
      </c>
      <c r="C50" s="106" t="s">
        <v>623</v>
      </c>
      <c r="D50" s="137">
        <v>2</v>
      </c>
      <c r="E50" s="138">
        <v>14.55</v>
      </c>
      <c r="F50" s="139">
        <f>D50*E50</f>
        <v>29.1</v>
      </c>
      <c r="I50" s="124"/>
      <c r="J50" s="124"/>
      <c r="K50" s="124"/>
    </row>
    <row r="51" spans="1:11">
      <c r="A51" s="124"/>
      <c r="B51" s="124"/>
      <c r="C51" s="124"/>
      <c r="D51" s="516" t="s">
        <v>366</v>
      </c>
      <c r="E51" s="516"/>
      <c r="F51" s="112">
        <f>SUM(F50)</f>
        <v>29.1</v>
      </c>
      <c r="I51" s="124"/>
      <c r="J51" s="124"/>
      <c r="K51" s="124"/>
    </row>
    <row r="52" spans="1:11">
      <c r="A52" s="124"/>
      <c r="B52" s="124"/>
      <c r="C52" s="124"/>
      <c r="D52" s="124"/>
      <c r="E52" s="125"/>
      <c r="F52" s="124"/>
    </row>
    <row r="53" spans="1:11" ht="24">
      <c r="A53" s="101" t="s">
        <v>391</v>
      </c>
      <c r="B53" s="513" t="s">
        <v>654</v>
      </c>
      <c r="C53" s="514"/>
      <c r="D53" s="515"/>
      <c r="E53" s="102" t="s">
        <v>617</v>
      </c>
      <c r="F53" s="102" t="s">
        <v>618</v>
      </c>
    </row>
    <row r="54" spans="1:11">
      <c r="A54" s="103" t="s">
        <v>619</v>
      </c>
      <c r="B54" s="104" t="s">
        <v>620</v>
      </c>
      <c r="C54" s="104" t="s">
        <v>621</v>
      </c>
      <c r="D54" s="104" t="s">
        <v>9</v>
      </c>
      <c r="E54" s="104" t="s">
        <v>10</v>
      </c>
      <c r="F54" s="104" t="s">
        <v>11</v>
      </c>
    </row>
    <row r="55" spans="1:11">
      <c r="A55" s="105">
        <v>10431</v>
      </c>
      <c r="B55" s="105" t="s">
        <v>655</v>
      </c>
      <c r="C55" s="105" t="s">
        <v>28</v>
      </c>
      <c r="D55" s="107">
        <v>1</v>
      </c>
      <c r="E55" s="108">
        <v>137.1</v>
      </c>
      <c r="F55" s="109">
        <f>ROUND(D55*E55,2)</f>
        <v>137.1</v>
      </c>
    </row>
    <row r="56" spans="1:11" ht="24">
      <c r="A56" s="105">
        <v>1381</v>
      </c>
      <c r="B56" s="105" t="s">
        <v>656</v>
      </c>
      <c r="C56" s="105" t="s">
        <v>657</v>
      </c>
      <c r="D56" s="107">
        <v>1.8</v>
      </c>
      <c r="E56" s="108">
        <v>0.49</v>
      </c>
      <c r="F56" s="109">
        <f t="shared" ref="F56:F66" si="1">ROUND(D56*E56,2)</f>
        <v>0.88</v>
      </c>
    </row>
    <row r="57" spans="1:11">
      <c r="A57" s="105" t="s">
        <v>658</v>
      </c>
      <c r="B57" s="105" t="s">
        <v>659</v>
      </c>
      <c r="C57" s="105" t="s">
        <v>657</v>
      </c>
      <c r="D57" s="107">
        <v>0.5</v>
      </c>
      <c r="E57" s="108">
        <v>4.3600000000000003</v>
      </c>
      <c r="F57" s="109">
        <f t="shared" si="1"/>
        <v>2.1800000000000002</v>
      </c>
    </row>
    <row r="58" spans="1:11">
      <c r="A58" s="105" t="s">
        <v>660</v>
      </c>
      <c r="B58" s="105" t="s">
        <v>661</v>
      </c>
      <c r="C58" s="105" t="s">
        <v>662</v>
      </c>
      <c r="D58" s="107">
        <v>2</v>
      </c>
      <c r="E58" s="108">
        <v>168.89</v>
      </c>
      <c r="F58" s="109">
        <f t="shared" si="1"/>
        <v>337.78</v>
      </c>
    </row>
    <row r="59" spans="1:11">
      <c r="A59" s="105" t="s">
        <v>663</v>
      </c>
      <c r="B59" s="105" t="s">
        <v>664</v>
      </c>
      <c r="C59" s="105" t="s">
        <v>662</v>
      </c>
      <c r="D59" s="107">
        <v>1</v>
      </c>
      <c r="E59" s="108">
        <v>28.81</v>
      </c>
      <c r="F59" s="109">
        <f t="shared" si="1"/>
        <v>28.81</v>
      </c>
    </row>
    <row r="60" spans="1:11">
      <c r="A60" s="105" t="s">
        <v>665</v>
      </c>
      <c r="B60" s="105" t="s">
        <v>666</v>
      </c>
      <c r="C60" s="105" t="s">
        <v>662</v>
      </c>
      <c r="D60" s="107">
        <v>1</v>
      </c>
      <c r="E60" s="108">
        <v>102.97</v>
      </c>
      <c r="F60" s="109">
        <f t="shared" si="1"/>
        <v>102.97</v>
      </c>
    </row>
    <row r="61" spans="1:11">
      <c r="A61" s="105" t="s">
        <v>667</v>
      </c>
      <c r="B61" s="105" t="s">
        <v>668</v>
      </c>
      <c r="C61" s="105" t="s">
        <v>662</v>
      </c>
      <c r="D61" s="107">
        <v>1</v>
      </c>
      <c r="E61" s="108">
        <v>3.33</v>
      </c>
      <c r="F61" s="109">
        <f t="shared" si="1"/>
        <v>3.33</v>
      </c>
    </row>
    <row r="62" spans="1:11">
      <c r="A62" s="105" t="s">
        <v>669</v>
      </c>
      <c r="B62" s="105" t="s">
        <v>670</v>
      </c>
      <c r="C62" s="105" t="s">
        <v>662</v>
      </c>
      <c r="D62" s="107">
        <v>1</v>
      </c>
      <c r="E62" s="108">
        <v>114.8</v>
      </c>
      <c r="F62" s="109">
        <f t="shared" si="1"/>
        <v>114.8</v>
      </c>
    </row>
    <row r="63" spans="1:11">
      <c r="A63" s="105" t="s">
        <v>671</v>
      </c>
      <c r="B63" s="105" t="s">
        <v>672</v>
      </c>
      <c r="C63" s="105" t="s">
        <v>662</v>
      </c>
      <c r="D63" s="107">
        <v>1</v>
      </c>
      <c r="E63" s="108">
        <v>28.7</v>
      </c>
      <c r="F63" s="109">
        <f t="shared" si="1"/>
        <v>28.7</v>
      </c>
    </row>
    <row r="64" spans="1:11" ht="24">
      <c r="A64" s="105" t="s">
        <v>673</v>
      </c>
      <c r="B64" s="105" t="s">
        <v>674</v>
      </c>
      <c r="C64" s="105" t="s">
        <v>662</v>
      </c>
      <c r="D64" s="107">
        <v>2</v>
      </c>
      <c r="E64" s="108">
        <v>7.7</v>
      </c>
      <c r="F64" s="109">
        <f t="shared" si="1"/>
        <v>15.4</v>
      </c>
    </row>
    <row r="65" spans="1:6">
      <c r="A65" s="105">
        <v>88309</v>
      </c>
      <c r="B65" s="105" t="s">
        <v>631</v>
      </c>
      <c r="C65" s="105" t="s">
        <v>629</v>
      </c>
      <c r="D65" s="107">
        <v>1.1000000000000001</v>
      </c>
      <c r="E65" s="108">
        <v>21.24</v>
      </c>
      <c r="F65" s="109">
        <f t="shared" si="1"/>
        <v>23.36</v>
      </c>
    </row>
    <row r="66" spans="1:6">
      <c r="A66" s="105">
        <v>88242</v>
      </c>
      <c r="B66" s="105" t="s">
        <v>675</v>
      </c>
      <c r="C66" s="105" t="s">
        <v>629</v>
      </c>
      <c r="D66" s="107">
        <v>1.1000000000000001</v>
      </c>
      <c r="E66" s="108">
        <v>16.670000000000002</v>
      </c>
      <c r="F66" s="109">
        <f t="shared" si="1"/>
        <v>18.34</v>
      </c>
    </row>
    <row r="67" spans="1:6">
      <c r="A67" s="121"/>
      <c r="B67" s="122"/>
      <c r="C67" s="123"/>
      <c r="D67" s="516" t="s">
        <v>366</v>
      </c>
      <c r="E67" s="516"/>
      <c r="F67" s="112">
        <f>SUM(F55:F66)</f>
        <v>813.65</v>
      </c>
    </row>
    <row r="68" spans="1:6">
      <c r="E68" s="120"/>
    </row>
    <row r="69" spans="1:6" ht="24">
      <c r="A69" s="101" t="s">
        <v>392</v>
      </c>
      <c r="B69" s="513" t="s">
        <v>676</v>
      </c>
      <c r="C69" s="514"/>
      <c r="D69" s="515"/>
      <c r="E69" s="102" t="s">
        <v>617</v>
      </c>
      <c r="F69" s="102" t="s">
        <v>618</v>
      </c>
    </row>
    <row r="70" spans="1:6">
      <c r="A70" s="103" t="s">
        <v>619</v>
      </c>
      <c r="B70" s="104" t="s">
        <v>620</v>
      </c>
      <c r="C70" s="104" t="s">
        <v>621</v>
      </c>
      <c r="D70" s="104" t="s">
        <v>9</v>
      </c>
      <c r="E70" s="104" t="s">
        <v>10</v>
      </c>
      <c r="F70" s="104" t="s">
        <v>11</v>
      </c>
    </row>
    <row r="71" spans="1:6">
      <c r="A71" s="105">
        <v>10422</v>
      </c>
      <c r="B71" s="105" t="s">
        <v>677</v>
      </c>
      <c r="C71" s="105" t="s">
        <v>18</v>
      </c>
      <c r="D71" s="107">
        <v>1</v>
      </c>
      <c r="E71" s="108">
        <v>225.17</v>
      </c>
      <c r="F71" s="109">
        <f>ROUND(D71*E71,2)</f>
        <v>225.17</v>
      </c>
    </row>
    <row r="72" spans="1:6">
      <c r="A72" s="105" t="s">
        <v>678</v>
      </c>
      <c r="B72" s="105" t="s">
        <v>679</v>
      </c>
      <c r="C72" s="105" t="s">
        <v>662</v>
      </c>
      <c r="D72" s="107">
        <v>1</v>
      </c>
      <c r="E72" s="108">
        <v>18</v>
      </c>
      <c r="F72" s="109">
        <f t="shared" ref="F72:F79" si="2">ROUND(D72*E72,2)</f>
        <v>18</v>
      </c>
    </row>
    <row r="73" spans="1:6" ht="24">
      <c r="A73" s="105" t="s">
        <v>680</v>
      </c>
      <c r="B73" s="105" t="s">
        <v>656</v>
      </c>
      <c r="C73" s="105" t="s">
        <v>657</v>
      </c>
      <c r="D73" s="107">
        <v>2</v>
      </c>
      <c r="E73" s="108">
        <v>0.49</v>
      </c>
      <c r="F73" s="109">
        <f t="shared" si="2"/>
        <v>0.98</v>
      </c>
    </row>
    <row r="74" spans="1:6">
      <c r="A74" s="105" t="s">
        <v>681</v>
      </c>
      <c r="B74" s="105" t="s">
        <v>659</v>
      </c>
      <c r="C74" s="105" t="s">
        <v>657</v>
      </c>
      <c r="D74" s="107">
        <v>0.6</v>
      </c>
      <c r="E74" s="108">
        <v>4.3600000000000003</v>
      </c>
      <c r="F74" s="109">
        <f t="shared" si="2"/>
        <v>2.62</v>
      </c>
    </row>
    <row r="75" spans="1:6">
      <c r="A75" s="105" t="s">
        <v>682</v>
      </c>
      <c r="B75" s="105" t="s">
        <v>683</v>
      </c>
      <c r="C75" s="105" t="s">
        <v>662</v>
      </c>
      <c r="D75" s="107">
        <v>2</v>
      </c>
      <c r="E75" s="108">
        <v>200</v>
      </c>
      <c r="F75" s="109">
        <f t="shared" si="2"/>
        <v>400</v>
      </c>
    </row>
    <row r="76" spans="1:6">
      <c r="A76" s="105" t="s">
        <v>663</v>
      </c>
      <c r="B76" s="105" t="s">
        <v>664</v>
      </c>
      <c r="C76" s="105" t="s">
        <v>662</v>
      </c>
      <c r="D76" s="107">
        <v>1</v>
      </c>
      <c r="E76" s="108">
        <v>28.81</v>
      </c>
      <c r="F76" s="109">
        <f t="shared" si="2"/>
        <v>28.81</v>
      </c>
    </row>
    <row r="77" spans="1:6" ht="36">
      <c r="A77" s="105" t="s">
        <v>673</v>
      </c>
      <c r="B77" s="105" t="s">
        <v>684</v>
      </c>
      <c r="C77" s="105" t="s">
        <v>662</v>
      </c>
      <c r="D77" s="107">
        <v>2</v>
      </c>
      <c r="E77" s="108">
        <v>7.7</v>
      </c>
      <c r="F77" s="109">
        <f t="shared" si="2"/>
        <v>15.4</v>
      </c>
    </row>
    <row r="78" spans="1:6">
      <c r="A78" s="105">
        <v>88309</v>
      </c>
      <c r="B78" s="105" t="s">
        <v>631</v>
      </c>
      <c r="C78" s="105" t="s">
        <v>629</v>
      </c>
      <c r="D78" s="107">
        <v>1.5</v>
      </c>
      <c r="E78" s="108">
        <v>21.24</v>
      </c>
      <c r="F78" s="109">
        <f t="shared" si="2"/>
        <v>31.86</v>
      </c>
    </row>
    <row r="79" spans="1:6">
      <c r="A79" s="105">
        <v>88242</v>
      </c>
      <c r="B79" s="105" t="s">
        <v>675</v>
      </c>
      <c r="C79" s="105" t="s">
        <v>629</v>
      </c>
      <c r="D79" s="107">
        <v>1.5</v>
      </c>
      <c r="E79" s="108">
        <v>16.670000000000002</v>
      </c>
      <c r="F79" s="109">
        <f t="shared" si="2"/>
        <v>25.01</v>
      </c>
    </row>
    <row r="80" spans="1:6">
      <c r="A80" s="121"/>
      <c r="B80" s="122"/>
      <c r="C80" s="123"/>
      <c r="D80" s="516" t="s">
        <v>366</v>
      </c>
      <c r="E80" s="516"/>
      <c r="F80" s="112">
        <f>SUM(F71:F79)</f>
        <v>747.85</v>
      </c>
    </row>
    <row r="81" spans="1:6">
      <c r="A81" s="124"/>
      <c r="B81" s="124"/>
      <c r="C81" s="124"/>
      <c r="D81" s="124"/>
      <c r="E81" s="125"/>
      <c r="F81" s="124"/>
    </row>
    <row r="82" spans="1:6" ht="24">
      <c r="A82" s="101" t="s">
        <v>397</v>
      </c>
      <c r="B82" s="513" t="s">
        <v>685</v>
      </c>
      <c r="C82" s="514"/>
      <c r="D82" s="515"/>
      <c r="E82" s="102" t="s">
        <v>617</v>
      </c>
      <c r="F82" s="102" t="s">
        <v>618</v>
      </c>
    </row>
    <row r="83" spans="1:6">
      <c r="A83" s="103" t="s">
        <v>619</v>
      </c>
      <c r="B83" s="104" t="s">
        <v>620</v>
      </c>
      <c r="C83" s="104" t="s">
        <v>621</v>
      </c>
      <c r="D83" s="104" t="s">
        <v>9</v>
      </c>
      <c r="E83" s="104" t="s">
        <v>10</v>
      </c>
      <c r="F83" s="104" t="s">
        <v>11</v>
      </c>
    </row>
    <row r="84" spans="1:6">
      <c r="A84" s="105" t="s">
        <v>686</v>
      </c>
      <c r="B84" s="105" t="s">
        <v>687</v>
      </c>
      <c r="C84" s="105" t="s">
        <v>662</v>
      </c>
      <c r="D84" s="107">
        <v>1</v>
      </c>
      <c r="E84" s="108">
        <v>28</v>
      </c>
      <c r="F84" s="109">
        <f>ROUND(D84*E84,2)</f>
        <v>28</v>
      </c>
    </row>
    <row r="85" spans="1:6">
      <c r="A85" s="105">
        <v>21127</v>
      </c>
      <c r="B85" s="105" t="s">
        <v>688</v>
      </c>
      <c r="C85" s="105" t="s">
        <v>689</v>
      </c>
      <c r="D85" s="107">
        <v>0.1</v>
      </c>
      <c r="E85" s="108">
        <v>1.89</v>
      </c>
      <c r="F85" s="109">
        <f t="shared" ref="F85:F87" si="3">ROUND(D85*E85,2)</f>
        <v>0.19</v>
      </c>
    </row>
    <row r="86" spans="1:6">
      <c r="A86" s="105">
        <v>88264</v>
      </c>
      <c r="B86" s="105" t="s">
        <v>690</v>
      </c>
      <c r="C86" s="105" t="s">
        <v>629</v>
      </c>
      <c r="D86" s="107">
        <v>0.3</v>
      </c>
      <c r="E86" s="108">
        <v>21.45</v>
      </c>
      <c r="F86" s="109">
        <f t="shared" si="3"/>
        <v>6.44</v>
      </c>
    </row>
    <row r="87" spans="1:6">
      <c r="A87" s="105" t="s">
        <v>691</v>
      </c>
      <c r="B87" s="105" t="s">
        <v>692</v>
      </c>
      <c r="C87" s="105" t="s">
        <v>629</v>
      </c>
      <c r="D87" s="107">
        <v>0.3</v>
      </c>
      <c r="E87" s="108">
        <v>17.28</v>
      </c>
      <c r="F87" s="109">
        <f t="shared" si="3"/>
        <v>5.18</v>
      </c>
    </row>
    <row r="88" spans="1:6">
      <c r="A88" s="124"/>
      <c r="B88" s="124"/>
      <c r="C88" s="124"/>
      <c r="D88" s="516" t="s">
        <v>366</v>
      </c>
      <c r="E88" s="516"/>
      <c r="F88" s="112">
        <f>SUM(F84:F87)</f>
        <v>39.81</v>
      </c>
    </row>
    <row r="89" spans="1:6">
      <c r="A89" s="124"/>
      <c r="B89" s="124"/>
      <c r="C89" s="124"/>
      <c r="D89" s="124"/>
      <c r="E89" s="125"/>
      <c r="F89" s="124"/>
    </row>
    <row r="90" spans="1:6" ht="24">
      <c r="A90" s="101" t="s">
        <v>383</v>
      </c>
      <c r="B90" s="513" t="s">
        <v>182</v>
      </c>
      <c r="C90" s="514"/>
      <c r="D90" s="515"/>
      <c r="E90" s="102" t="s">
        <v>617</v>
      </c>
      <c r="F90" s="102" t="s">
        <v>618</v>
      </c>
    </row>
    <row r="91" spans="1:6">
      <c r="A91" s="103" t="s">
        <v>619</v>
      </c>
      <c r="B91" s="104" t="s">
        <v>620</v>
      </c>
      <c r="C91" s="104" t="s">
        <v>621</v>
      </c>
      <c r="D91" s="104" t="s">
        <v>9</v>
      </c>
      <c r="E91" s="104" t="s">
        <v>10</v>
      </c>
      <c r="F91" s="104" t="s">
        <v>11</v>
      </c>
    </row>
    <row r="92" spans="1:6" ht="25.5" customHeight="1">
      <c r="A92" s="105" t="str">
        <f>'PB VII - Cotações'!A6</f>
        <v>COTAÇÃO 001</v>
      </c>
      <c r="B92" s="105" t="s">
        <v>693</v>
      </c>
      <c r="C92" s="105" t="s">
        <v>28</v>
      </c>
      <c r="D92" s="107">
        <v>1</v>
      </c>
      <c r="E92" s="108">
        <f>'PB VII - Cotações'!F8</f>
        <v>121.07</v>
      </c>
      <c r="F92" s="109">
        <f>ROUND(D92*E92,2)</f>
        <v>121.07</v>
      </c>
    </row>
    <row r="93" spans="1:6" ht="25.5" customHeight="1">
      <c r="A93" s="105" t="str">
        <f>'PB VII - Cotações'!A10</f>
        <v>COTAÇÃO 002</v>
      </c>
      <c r="B93" s="105" t="s">
        <v>694</v>
      </c>
      <c r="C93" s="105" t="s">
        <v>28</v>
      </c>
      <c r="D93" s="107">
        <v>2</v>
      </c>
      <c r="E93" s="108">
        <f>'PB VII - Cotações'!F12</f>
        <v>40.03</v>
      </c>
      <c r="F93" s="109">
        <f t="shared" ref="F93:F95" si="4">ROUND(D93*E93,2)</f>
        <v>80.06</v>
      </c>
    </row>
    <row r="94" spans="1:6">
      <c r="A94" s="105">
        <v>88264</v>
      </c>
      <c r="B94" s="105" t="s">
        <v>695</v>
      </c>
      <c r="C94" s="105" t="s">
        <v>623</v>
      </c>
      <c r="D94" s="107">
        <v>1</v>
      </c>
      <c r="E94" s="108">
        <v>21.45</v>
      </c>
      <c r="F94" s="109">
        <f t="shared" si="4"/>
        <v>21.45</v>
      </c>
    </row>
    <row r="95" spans="1:6">
      <c r="A95" s="105">
        <v>88316</v>
      </c>
      <c r="B95" s="105" t="s">
        <v>638</v>
      </c>
      <c r="C95" s="105" t="s">
        <v>623</v>
      </c>
      <c r="D95" s="107">
        <v>1</v>
      </c>
      <c r="E95" s="108">
        <v>14.55</v>
      </c>
      <c r="F95" s="109">
        <f t="shared" si="4"/>
        <v>14.55</v>
      </c>
    </row>
    <row r="96" spans="1:6">
      <c r="A96" s="124"/>
      <c r="B96" s="124"/>
      <c r="C96" s="124"/>
      <c r="D96" s="516" t="s">
        <v>366</v>
      </c>
      <c r="E96" s="516"/>
      <c r="F96" s="112">
        <f>SUM(F92:F95)</f>
        <v>237.13</v>
      </c>
    </row>
    <row r="97" spans="1:6">
      <c r="A97" s="124"/>
      <c r="B97" s="124"/>
      <c r="C97" s="124"/>
      <c r="D97" s="124"/>
      <c r="E97" s="125"/>
      <c r="F97" s="124"/>
    </row>
    <row r="98" spans="1:6" ht="24">
      <c r="A98" s="101" t="s">
        <v>394</v>
      </c>
      <c r="B98" s="513" t="s">
        <v>395</v>
      </c>
      <c r="C98" s="514"/>
      <c r="D98" s="515"/>
      <c r="E98" s="102" t="s">
        <v>617</v>
      </c>
      <c r="F98" s="102" t="s">
        <v>618</v>
      </c>
    </row>
    <row r="99" spans="1:6">
      <c r="A99" s="103" t="s">
        <v>619</v>
      </c>
      <c r="B99" s="104" t="s">
        <v>620</v>
      </c>
      <c r="C99" s="104" t="s">
        <v>621</v>
      </c>
      <c r="D99" s="104" t="s">
        <v>9</v>
      </c>
      <c r="E99" s="104" t="s">
        <v>10</v>
      </c>
      <c r="F99" s="104" t="s">
        <v>11</v>
      </c>
    </row>
    <row r="100" spans="1:6">
      <c r="A100" s="105">
        <v>39376</v>
      </c>
      <c r="B100" s="105" t="s">
        <v>696</v>
      </c>
      <c r="C100" s="105" t="s">
        <v>28</v>
      </c>
      <c r="D100" s="107">
        <v>1</v>
      </c>
      <c r="E100" s="108">
        <v>19.55</v>
      </c>
      <c r="F100" s="109">
        <f t="shared" ref="F100:F102" si="5">ROUND(D100*E100,2)</f>
        <v>19.55</v>
      </c>
    </row>
    <row r="101" spans="1:6">
      <c r="A101" s="105">
        <v>88264</v>
      </c>
      <c r="B101" s="105" t="s">
        <v>695</v>
      </c>
      <c r="C101" s="105" t="s">
        <v>623</v>
      </c>
      <c r="D101" s="107">
        <v>0.3</v>
      </c>
      <c r="E101" s="108">
        <v>21.45</v>
      </c>
      <c r="F101" s="109">
        <f t="shared" si="5"/>
        <v>6.44</v>
      </c>
    </row>
    <row r="102" spans="1:6">
      <c r="A102" s="105">
        <v>88247</v>
      </c>
      <c r="B102" s="105" t="s">
        <v>697</v>
      </c>
      <c r="C102" s="105" t="s">
        <v>623</v>
      </c>
      <c r="D102" s="107">
        <v>0.3</v>
      </c>
      <c r="E102" s="108">
        <v>17.28</v>
      </c>
      <c r="F102" s="109">
        <f t="shared" si="5"/>
        <v>5.18</v>
      </c>
    </row>
    <row r="103" spans="1:6">
      <c r="A103" s="124"/>
      <c r="B103" s="124"/>
      <c r="C103" s="124"/>
      <c r="D103" s="516" t="s">
        <v>366</v>
      </c>
      <c r="E103" s="516"/>
      <c r="F103" s="112">
        <f>SUM(F100:F102)</f>
        <v>31.17</v>
      </c>
    </row>
    <row r="104" spans="1:6">
      <c r="A104" s="124"/>
      <c r="B104" s="124"/>
      <c r="C104" s="124"/>
      <c r="D104" s="124"/>
      <c r="E104" s="125"/>
      <c r="F104" s="124"/>
    </row>
    <row r="105" spans="1:6" ht="24">
      <c r="A105" s="101" t="s">
        <v>385</v>
      </c>
      <c r="B105" s="513" t="s">
        <v>386</v>
      </c>
      <c r="C105" s="514"/>
      <c r="D105" s="515"/>
      <c r="E105" s="102" t="s">
        <v>617</v>
      </c>
      <c r="F105" s="102" t="s">
        <v>618</v>
      </c>
    </row>
    <row r="106" spans="1:6">
      <c r="A106" s="103" t="s">
        <v>619</v>
      </c>
      <c r="B106" s="104" t="s">
        <v>620</v>
      </c>
      <c r="C106" s="104" t="s">
        <v>621</v>
      </c>
      <c r="D106" s="104" t="s">
        <v>9</v>
      </c>
      <c r="E106" s="104" t="s">
        <v>10</v>
      </c>
      <c r="F106" s="104" t="s">
        <v>11</v>
      </c>
    </row>
    <row r="107" spans="1:6" ht="24">
      <c r="A107" s="105">
        <v>39374</v>
      </c>
      <c r="B107" s="105" t="s">
        <v>698</v>
      </c>
      <c r="C107" s="105" t="s">
        <v>28</v>
      </c>
      <c r="D107" s="107">
        <v>1</v>
      </c>
      <c r="E107" s="108">
        <v>79.2</v>
      </c>
      <c r="F107" s="109">
        <f t="shared" ref="F107:F109" si="6">ROUND(D107*E107,2)</f>
        <v>79.2</v>
      </c>
    </row>
    <row r="108" spans="1:6">
      <c r="A108" s="105">
        <v>88264</v>
      </c>
      <c r="B108" s="105" t="s">
        <v>695</v>
      </c>
      <c r="C108" s="105" t="s">
        <v>623</v>
      </c>
      <c r="D108" s="107">
        <v>0.6</v>
      </c>
      <c r="E108" s="108">
        <v>21.45</v>
      </c>
      <c r="F108" s="109">
        <f t="shared" si="6"/>
        <v>12.87</v>
      </c>
    </row>
    <row r="109" spans="1:6">
      <c r="A109" s="105">
        <v>88247</v>
      </c>
      <c r="B109" s="105" t="s">
        <v>697</v>
      </c>
      <c r="C109" s="105" t="s">
        <v>623</v>
      </c>
      <c r="D109" s="107">
        <v>0.6</v>
      </c>
      <c r="E109" s="108">
        <v>17.28</v>
      </c>
      <c r="F109" s="109">
        <f t="shared" si="6"/>
        <v>10.37</v>
      </c>
    </row>
    <row r="110" spans="1:6">
      <c r="A110" s="124"/>
      <c r="B110" s="124"/>
      <c r="C110" s="124"/>
      <c r="D110" s="516" t="s">
        <v>366</v>
      </c>
      <c r="E110" s="516"/>
      <c r="F110" s="112">
        <f>SUM(F107:F109)</f>
        <v>102.44</v>
      </c>
    </row>
    <row r="111" spans="1:6">
      <c r="A111" s="124"/>
      <c r="B111" s="124"/>
      <c r="C111" s="124"/>
      <c r="D111" s="124"/>
      <c r="E111" s="125"/>
      <c r="F111" s="124"/>
    </row>
    <row r="112" spans="1:6" ht="24">
      <c r="A112" s="101" t="s">
        <v>396</v>
      </c>
      <c r="B112" s="513" t="s">
        <v>699</v>
      </c>
      <c r="C112" s="514"/>
      <c r="D112" s="515"/>
      <c r="E112" s="102" t="s">
        <v>617</v>
      </c>
      <c r="F112" s="102" t="s">
        <v>618</v>
      </c>
    </row>
    <row r="113" spans="1:6" ht="25.5" customHeight="1">
      <c r="A113" s="103" t="s">
        <v>619</v>
      </c>
      <c r="B113" s="104" t="s">
        <v>620</v>
      </c>
      <c r="C113" s="104" t="s">
        <v>621</v>
      </c>
      <c r="D113" s="104" t="s">
        <v>9</v>
      </c>
      <c r="E113" s="104" t="s">
        <v>10</v>
      </c>
      <c r="F113" s="104" t="s">
        <v>11</v>
      </c>
    </row>
    <row r="114" spans="1:6" ht="24">
      <c r="A114" s="105">
        <v>12001</v>
      </c>
      <c r="B114" s="105" t="s">
        <v>700</v>
      </c>
      <c r="C114" s="105" t="s">
        <v>28</v>
      </c>
      <c r="D114" s="107">
        <v>1</v>
      </c>
      <c r="E114" s="108">
        <v>3.27</v>
      </c>
      <c r="F114" s="109">
        <v>3.27</v>
      </c>
    </row>
    <row r="115" spans="1:6">
      <c r="A115" s="105">
        <v>88264</v>
      </c>
      <c r="B115" s="105" t="s">
        <v>695</v>
      </c>
      <c r="C115" s="105" t="s">
        <v>623</v>
      </c>
      <c r="D115" s="107">
        <v>0.14299999999999999</v>
      </c>
      <c r="E115" s="108">
        <v>21.45</v>
      </c>
      <c r="F115" s="109">
        <f t="shared" ref="F115:F116" si="7">ROUND(D115*E115,2)</f>
        <v>3.07</v>
      </c>
    </row>
    <row r="116" spans="1:6">
      <c r="A116" s="105">
        <v>88247</v>
      </c>
      <c r="B116" s="105" t="s">
        <v>697</v>
      </c>
      <c r="C116" s="105" t="s">
        <v>623</v>
      </c>
      <c r="D116" s="107">
        <v>0.14299999999999999</v>
      </c>
      <c r="E116" s="108">
        <v>17.28</v>
      </c>
      <c r="F116" s="109">
        <f t="shared" si="7"/>
        <v>2.4700000000000002</v>
      </c>
    </row>
    <row r="117" spans="1:6">
      <c r="A117" s="124"/>
      <c r="B117" s="124"/>
      <c r="C117" s="124"/>
      <c r="D117" s="516" t="s">
        <v>366</v>
      </c>
      <c r="E117" s="516"/>
      <c r="F117" s="112">
        <f>SUM(F114:F116)</f>
        <v>8.81</v>
      </c>
    </row>
    <row r="118" spans="1:6">
      <c r="A118" s="124"/>
      <c r="B118" s="124"/>
      <c r="C118" s="124"/>
      <c r="D118" s="124"/>
      <c r="E118" s="125"/>
      <c r="F118" s="124"/>
    </row>
    <row r="119" spans="1:6" ht="24">
      <c r="A119" s="101" t="s">
        <v>400</v>
      </c>
      <c r="B119" s="513" t="s">
        <v>249</v>
      </c>
      <c r="C119" s="514"/>
      <c r="D119" s="515"/>
      <c r="E119" s="102" t="s">
        <v>617</v>
      </c>
      <c r="F119" s="102" t="s">
        <v>618</v>
      </c>
    </row>
    <row r="120" spans="1:6">
      <c r="A120" s="103" t="s">
        <v>619</v>
      </c>
      <c r="B120" s="104" t="s">
        <v>620</v>
      </c>
      <c r="C120" s="104" t="s">
        <v>621</v>
      </c>
      <c r="D120" s="104" t="s">
        <v>9</v>
      </c>
      <c r="E120" s="104" t="s">
        <v>10</v>
      </c>
      <c r="F120" s="104" t="s">
        <v>11</v>
      </c>
    </row>
    <row r="121" spans="1:6" ht="25.5" customHeight="1">
      <c r="A121" s="105">
        <v>3383</v>
      </c>
      <c r="B121" s="105" t="s">
        <v>701</v>
      </c>
      <c r="C121" s="105" t="s">
        <v>28</v>
      </c>
      <c r="D121" s="107">
        <v>1</v>
      </c>
      <c r="E121" s="108">
        <v>18.7</v>
      </c>
      <c r="F121" s="109">
        <f>ROUND(D121*E121,2)</f>
        <v>18.7</v>
      </c>
    </row>
    <row r="122" spans="1:6" ht="24">
      <c r="A122" s="105">
        <v>425</v>
      </c>
      <c r="B122" s="105" t="s">
        <v>702</v>
      </c>
      <c r="C122" s="105" t="s">
        <v>28</v>
      </c>
      <c r="D122" s="107">
        <v>1</v>
      </c>
      <c r="E122" s="108">
        <v>2.2999999999999998</v>
      </c>
      <c r="F122" s="109">
        <f t="shared" ref="F122:F124" si="8">ROUND(D122*E122,2)</f>
        <v>2.2999999999999998</v>
      </c>
    </row>
    <row r="123" spans="1:6">
      <c r="A123" s="105">
        <v>88264</v>
      </c>
      <c r="B123" s="105" t="s">
        <v>695</v>
      </c>
      <c r="C123" s="105" t="s">
        <v>623</v>
      </c>
      <c r="D123" s="107">
        <v>0.4</v>
      </c>
      <c r="E123" s="108">
        <v>21.45</v>
      </c>
      <c r="F123" s="109">
        <f t="shared" si="8"/>
        <v>8.58</v>
      </c>
    </row>
    <row r="124" spans="1:6">
      <c r="A124" s="105">
        <v>88247</v>
      </c>
      <c r="B124" s="105" t="s">
        <v>697</v>
      </c>
      <c r="C124" s="105" t="s">
        <v>623</v>
      </c>
      <c r="D124" s="107">
        <v>0.4</v>
      </c>
      <c r="E124" s="108">
        <v>17.28</v>
      </c>
      <c r="F124" s="109">
        <f t="shared" si="8"/>
        <v>6.91</v>
      </c>
    </row>
    <row r="125" spans="1:6">
      <c r="A125" s="124"/>
      <c r="B125" s="124"/>
      <c r="C125" s="124"/>
      <c r="D125" s="516" t="s">
        <v>366</v>
      </c>
      <c r="E125" s="516"/>
      <c r="F125" s="112">
        <f>SUM(F121:F124)</f>
        <v>36.49</v>
      </c>
    </row>
    <row r="126" spans="1:6">
      <c r="A126" s="124"/>
      <c r="B126" s="124"/>
      <c r="C126" s="124"/>
      <c r="D126" s="124"/>
      <c r="E126" s="125"/>
      <c r="F126" s="124"/>
    </row>
    <row r="127" spans="1:6" ht="24">
      <c r="A127" s="101" t="s">
        <v>402</v>
      </c>
      <c r="B127" s="513" t="s">
        <v>251</v>
      </c>
      <c r="C127" s="514"/>
      <c r="D127" s="515"/>
      <c r="E127" s="102" t="s">
        <v>617</v>
      </c>
      <c r="F127" s="102" t="s">
        <v>618</v>
      </c>
    </row>
    <row r="128" spans="1:6">
      <c r="A128" s="103" t="s">
        <v>619</v>
      </c>
      <c r="B128" s="104" t="s">
        <v>620</v>
      </c>
      <c r="C128" s="104" t="s">
        <v>621</v>
      </c>
      <c r="D128" s="104" t="s">
        <v>9</v>
      </c>
      <c r="E128" s="104" t="s">
        <v>10</v>
      </c>
      <c r="F128" s="104" t="s">
        <v>11</v>
      </c>
    </row>
    <row r="129" spans="1:6" ht="24">
      <c r="A129" s="105">
        <v>34641</v>
      </c>
      <c r="B129" s="105" t="s">
        <v>703</v>
      </c>
      <c r="C129" s="105" t="s">
        <v>28</v>
      </c>
      <c r="D129" s="107">
        <v>1</v>
      </c>
      <c r="E129" s="108">
        <v>68.66</v>
      </c>
      <c r="F129" s="109">
        <f>ROUND(E129*D129,2)</f>
        <v>68.66</v>
      </c>
    </row>
    <row r="130" spans="1:6" ht="25.5" customHeight="1">
      <c r="A130" s="105">
        <v>88316</v>
      </c>
      <c r="B130" s="105" t="s">
        <v>638</v>
      </c>
      <c r="C130" s="105" t="s">
        <v>623</v>
      </c>
      <c r="D130" s="107">
        <v>1.5</v>
      </c>
      <c r="E130" s="108">
        <v>14.55</v>
      </c>
      <c r="F130" s="109">
        <f>ROUND(E130*D130,2)</f>
        <v>21.83</v>
      </c>
    </row>
    <row r="131" spans="1:6">
      <c r="A131" s="124"/>
      <c r="B131" s="124"/>
      <c r="C131" s="124"/>
      <c r="D131" s="517" t="s">
        <v>366</v>
      </c>
      <c r="E131" s="518"/>
      <c r="F131" s="112">
        <f>ROUND(SUM(F129:F130),2)</f>
        <v>90.49</v>
      </c>
    </row>
    <row r="132" spans="1:6">
      <c r="A132" s="124"/>
      <c r="B132" s="124"/>
      <c r="C132" s="124"/>
      <c r="D132" s="124"/>
      <c r="E132" s="125"/>
      <c r="F132" s="124"/>
    </row>
    <row r="133" spans="1:6">
      <c r="A133" s="124"/>
      <c r="B133" s="124"/>
      <c r="C133" s="124"/>
      <c r="D133" s="124"/>
      <c r="E133" s="125"/>
      <c r="F133" s="124"/>
    </row>
    <row r="134" spans="1:6" ht="24">
      <c r="A134" s="101" t="s">
        <v>410</v>
      </c>
      <c r="B134" s="513" t="s">
        <v>271</v>
      </c>
      <c r="C134" s="514"/>
      <c r="D134" s="515"/>
      <c r="E134" s="102" t="s">
        <v>617</v>
      </c>
      <c r="F134" s="102" t="s">
        <v>618</v>
      </c>
    </row>
    <row r="135" spans="1:6">
      <c r="A135" s="103" t="s">
        <v>619</v>
      </c>
      <c r="B135" s="104" t="s">
        <v>620</v>
      </c>
      <c r="C135" s="104" t="s">
        <v>621</v>
      </c>
      <c r="D135" s="104" t="s">
        <v>9</v>
      </c>
      <c r="E135" s="104" t="s">
        <v>10</v>
      </c>
      <c r="F135" s="104" t="s">
        <v>11</v>
      </c>
    </row>
    <row r="136" spans="1:6" ht="24">
      <c r="A136" s="105" t="str">
        <f>'PB VII - Cotações'!A14</f>
        <v>COTAÇÃO 003</v>
      </c>
      <c r="B136" s="105" t="s">
        <v>704</v>
      </c>
      <c r="C136" s="105" t="s">
        <v>28</v>
      </c>
      <c r="D136" s="107">
        <v>1</v>
      </c>
      <c r="E136" s="108">
        <f>'PB VII - Cotações'!F16</f>
        <v>96.88</v>
      </c>
      <c r="F136" s="109">
        <f>ROUND(E136*D136,2)</f>
        <v>96.88</v>
      </c>
    </row>
    <row r="137" spans="1:6" ht="24">
      <c r="A137" s="105">
        <v>1579</v>
      </c>
      <c r="B137" s="105" t="s">
        <v>705</v>
      </c>
      <c r="C137" s="105" t="s">
        <v>28</v>
      </c>
      <c r="D137" s="107">
        <v>6</v>
      </c>
      <c r="E137" s="108">
        <v>2.14</v>
      </c>
      <c r="F137" s="109">
        <f t="shared" ref="F137:F139" si="9">ROUND(E137*D137,2)</f>
        <v>12.84</v>
      </c>
    </row>
    <row r="138" spans="1:6">
      <c r="A138" s="105">
        <v>88264</v>
      </c>
      <c r="B138" s="105" t="s">
        <v>695</v>
      </c>
      <c r="C138" s="105" t="s">
        <v>623</v>
      </c>
      <c r="D138" s="107">
        <v>0.27</v>
      </c>
      <c r="E138" s="108">
        <v>21.45</v>
      </c>
      <c r="F138" s="109">
        <f t="shared" si="9"/>
        <v>5.79</v>
      </c>
    </row>
    <row r="139" spans="1:6">
      <c r="A139" s="105">
        <v>88247</v>
      </c>
      <c r="B139" s="105" t="s">
        <v>697</v>
      </c>
      <c r="C139" s="105" t="s">
        <v>623</v>
      </c>
      <c r="D139" s="107">
        <v>0.27</v>
      </c>
      <c r="E139" s="108">
        <v>17.28</v>
      </c>
      <c r="F139" s="109">
        <f t="shared" si="9"/>
        <v>4.67</v>
      </c>
    </row>
    <row r="140" spans="1:6">
      <c r="A140" s="124"/>
      <c r="B140" s="124"/>
      <c r="C140" s="124"/>
      <c r="D140" s="516" t="s">
        <v>366</v>
      </c>
      <c r="E140" s="516"/>
      <c r="F140" s="112">
        <f>SUM(F136:F139)</f>
        <v>120.18</v>
      </c>
    </row>
    <row r="141" spans="1:6">
      <c r="A141" s="124"/>
      <c r="B141" s="124"/>
      <c r="C141" s="124"/>
      <c r="D141" s="124"/>
      <c r="E141" s="125"/>
      <c r="F141" s="124"/>
    </row>
    <row r="142" spans="1:6" ht="24">
      <c r="A142" s="101" t="s">
        <v>406</v>
      </c>
      <c r="B142" s="513" t="s">
        <v>273</v>
      </c>
      <c r="C142" s="514"/>
      <c r="D142" s="515"/>
      <c r="E142" s="102" t="s">
        <v>617</v>
      </c>
      <c r="F142" s="102" t="s">
        <v>618</v>
      </c>
    </row>
    <row r="143" spans="1:6">
      <c r="A143" s="103" t="s">
        <v>619</v>
      </c>
      <c r="B143" s="104" t="s">
        <v>620</v>
      </c>
      <c r="C143" s="104" t="s">
        <v>621</v>
      </c>
      <c r="D143" s="104" t="s">
        <v>9</v>
      </c>
      <c r="E143" s="104" t="s">
        <v>10</v>
      </c>
      <c r="F143" s="104" t="s">
        <v>11</v>
      </c>
    </row>
    <row r="144" spans="1:6" ht="25.5" customHeight="1">
      <c r="A144" s="105">
        <v>39446</v>
      </c>
      <c r="B144" s="105" t="s">
        <v>706</v>
      </c>
      <c r="C144" s="105" t="s">
        <v>28</v>
      </c>
      <c r="D144" s="107">
        <v>1</v>
      </c>
      <c r="E144" s="108">
        <v>98.25</v>
      </c>
      <c r="F144" s="109">
        <f>ROUND(E144*D144,2)</f>
        <v>98.25</v>
      </c>
    </row>
    <row r="145" spans="1:6" ht="24">
      <c r="A145" s="105">
        <v>1571</v>
      </c>
      <c r="B145" s="105" t="s">
        <v>707</v>
      </c>
      <c r="C145" s="105" t="s">
        <v>28</v>
      </c>
      <c r="D145" s="107">
        <v>2</v>
      </c>
      <c r="E145" s="108">
        <v>0.41</v>
      </c>
      <c r="F145" s="109">
        <f t="shared" ref="F145:F147" si="10">ROUND(E145*D145,2)</f>
        <v>0.82</v>
      </c>
    </row>
    <row r="146" spans="1:6">
      <c r="A146" s="105">
        <v>88264</v>
      </c>
      <c r="B146" s="105" t="s">
        <v>695</v>
      </c>
      <c r="C146" s="105" t="s">
        <v>623</v>
      </c>
      <c r="D146" s="107">
        <v>0.27</v>
      </c>
      <c r="E146" s="108">
        <v>21.45</v>
      </c>
      <c r="F146" s="109">
        <f t="shared" si="10"/>
        <v>5.79</v>
      </c>
    </row>
    <row r="147" spans="1:6">
      <c r="A147" s="105">
        <v>88247</v>
      </c>
      <c r="B147" s="105" t="s">
        <v>697</v>
      </c>
      <c r="C147" s="105" t="s">
        <v>623</v>
      </c>
      <c r="D147" s="107">
        <v>0.27</v>
      </c>
      <c r="E147" s="108">
        <v>17.28</v>
      </c>
      <c r="F147" s="109">
        <f t="shared" si="10"/>
        <v>4.67</v>
      </c>
    </row>
    <row r="148" spans="1:6">
      <c r="A148" s="124"/>
      <c r="B148" s="124"/>
      <c r="C148" s="124"/>
      <c r="D148" s="516" t="s">
        <v>366</v>
      </c>
      <c r="E148" s="516"/>
      <c r="F148" s="112">
        <f>SUM(F144:F147)</f>
        <v>109.53</v>
      </c>
    </row>
    <row r="149" spans="1:6">
      <c r="A149" s="124"/>
      <c r="B149" s="124"/>
      <c r="C149" s="124"/>
      <c r="D149" s="124"/>
      <c r="E149" s="125"/>
      <c r="F149" s="124"/>
    </row>
    <row r="150" spans="1:6" ht="24">
      <c r="A150" s="101" t="s">
        <v>403</v>
      </c>
      <c r="B150" s="513" t="s">
        <v>275</v>
      </c>
      <c r="C150" s="514"/>
      <c r="D150" s="515"/>
      <c r="E150" s="102" t="s">
        <v>617</v>
      </c>
      <c r="F150" s="102" t="s">
        <v>618</v>
      </c>
    </row>
    <row r="151" spans="1:6">
      <c r="A151" s="103" t="s">
        <v>619</v>
      </c>
      <c r="B151" s="104" t="s">
        <v>620</v>
      </c>
      <c r="C151" s="104" t="s">
        <v>621</v>
      </c>
      <c r="D151" s="104" t="s">
        <v>9</v>
      </c>
      <c r="E151" s="104" t="s">
        <v>10</v>
      </c>
      <c r="F151" s="104" t="s">
        <v>11</v>
      </c>
    </row>
    <row r="152" spans="1:6" ht="24">
      <c r="A152" s="105">
        <v>39467</v>
      </c>
      <c r="B152" s="105" t="s">
        <v>708</v>
      </c>
      <c r="C152" s="105" t="s">
        <v>28</v>
      </c>
      <c r="D152" s="107">
        <v>1</v>
      </c>
      <c r="E152" s="108">
        <v>67.510000000000005</v>
      </c>
      <c r="F152" s="109">
        <f>ROUND(E152*D152,2)</f>
        <v>67.510000000000005</v>
      </c>
    </row>
    <row r="153" spans="1:6" ht="25.5" customHeight="1">
      <c r="A153" s="105">
        <v>1571</v>
      </c>
      <c r="B153" s="105" t="s">
        <v>707</v>
      </c>
      <c r="C153" s="105" t="s">
        <v>28</v>
      </c>
      <c r="D153" s="107">
        <v>1</v>
      </c>
      <c r="E153" s="108">
        <v>0.41</v>
      </c>
      <c r="F153" s="109">
        <f t="shared" ref="F153:F156" si="11">ROUND(E153*D153,2)</f>
        <v>0.41</v>
      </c>
    </row>
    <row r="154" spans="1:6" ht="24">
      <c r="A154" s="105">
        <v>1579</v>
      </c>
      <c r="B154" s="105" t="s">
        <v>705</v>
      </c>
      <c r="C154" s="105" t="s">
        <v>28</v>
      </c>
      <c r="D154" s="107">
        <v>1</v>
      </c>
      <c r="E154" s="108">
        <v>2.14</v>
      </c>
      <c r="F154" s="109">
        <f t="shared" si="11"/>
        <v>2.14</v>
      </c>
    </row>
    <row r="155" spans="1:6">
      <c r="A155" s="105">
        <v>88264</v>
      </c>
      <c r="B155" s="105" t="s">
        <v>695</v>
      </c>
      <c r="C155" s="105" t="s">
        <v>623</v>
      </c>
      <c r="D155" s="107">
        <v>6.6000000000000003E-2</v>
      </c>
      <c r="E155" s="108">
        <v>21.45</v>
      </c>
      <c r="F155" s="109">
        <f t="shared" si="11"/>
        <v>1.42</v>
      </c>
    </row>
    <row r="156" spans="1:6">
      <c r="A156" s="105">
        <v>88247</v>
      </c>
      <c r="B156" s="105" t="s">
        <v>697</v>
      </c>
      <c r="C156" s="105" t="s">
        <v>623</v>
      </c>
      <c r="D156" s="107">
        <v>6.6000000000000003E-2</v>
      </c>
      <c r="E156" s="108">
        <v>17.28</v>
      </c>
      <c r="F156" s="109">
        <f t="shared" si="11"/>
        <v>1.1399999999999999</v>
      </c>
    </row>
    <row r="157" spans="1:6">
      <c r="A157" s="124"/>
      <c r="B157" s="124"/>
      <c r="C157" s="124"/>
      <c r="D157" s="516" t="s">
        <v>366</v>
      </c>
      <c r="E157" s="516"/>
      <c r="F157" s="112">
        <f>SUM(F152:F156)</f>
        <v>72.62</v>
      </c>
    </row>
    <row r="158" spans="1:6">
      <c r="A158" s="124"/>
      <c r="B158" s="124"/>
      <c r="C158" s="124"/>
      <c r="D158" s="124"/>
      <c r="E158" s="125"/>
      <c r="F158" s="124"/>
    </row>
    <row r="159" spans="1:6" ht="24">
      <c r="A159" s="101" t="s">
        <v>390</v>
      </c>
      <c r="B159" s="513" t="s">
        <v>277</v>
      </c>
      <c r="C159" s="514"/>
      <c r="D159" s="515"/>
      <c r="E159" s="102" t="s">
        <v>617</v>
      </c>
      <c r="F159" s="102" t="s">
        <v>618</v>
      </c>
    </row>
    <row r="160" spans="1:6" ht="25.5" customHeight="1">
      <c r="A160" s="103" t="s">
        <v>619</v>
      </c>
      <c r="B160" s="104" t="s">
        <v>620</v>
      </c>
      <c r="C160" s="104" t="s">
        <v>621</v>
      </c>
      <c r="D160" s="104" t="s">
        <v>9</v>
      </c>
      <c r="E160" s="104" t="s">
        <v>10</v>
      </c>
      <c r="F160" s="104" t="s">
        <v>11</v>
      </c>
    </row>
    <row r="161" spans="1:6" ht="24">
      <c r="A161" s="105">
        <v>4336</v>
      </c>
      <c r="B161" s="105" t="s">
        <v>709</v>
      </c>
      <c r="C161" s="105" t="s">
        <v>28</v>
      </c>
      <c r="D161" s="107">
        <v>2</v>
      </c>
      <c r="E161" s="108">
        <v>2.42</v>
      </c>
      <c r="F161" s="109">
        <f>ROUND(D161*E161,2)</f>
        <v>4.84</v>
      </c>
    </row>
    <row r="162" spans="1:6" ht="24">
      <c r="A162" s="105">
        <v>379</v>
      </c>
      <c r="B162" s="105" t="s">
        <v>710</v>
      </c>
      <c r="C162" s="105" t="s">
        <v>28</v>
      </c>
      <c r="D162" s="107">
        <v>2</v>
      </c>
      <c r="E162" s="108">
        <v>0.47</v>
      </c>
      <c r="F162" s="109">
        <f t="shared" ref="F162:F174" si="12">ROUND(D162*E162,2)</f>
        <v>0.94</v>
      </c>
    </row>
    <row r="163" spans="1:6" ht="36">
      <c r="A163" s="105">
        <v>995</v>
      </c>
      <c r="B163" s="105" t="s">
        <v>711</v>
      </c>
      <c r="C163" s="105" t="s">
        <v>55</v>
      </c>
      <c r="D163" s="107">
        <v>3</v>
      </c>
      <c r="E163" s="108">
        <v>6.4</v>
      </c>
      <c r="F163" s="109">
        <f t="shared" si="12"/>
        <v>19.2</v>
      </c>
    </row>
    <row r="164" spans="1:6" ht="36">
      <c r="A164" s="105">
        <v>1019</v>
      </c>
      <c r="B164" s="105" t="s">
        <v>712</v>
      </c>
      <c r="C164" s="105" t="s">
        <v>55</v>
      </c>
      <c r="D164" s="107">
        <v>24</v>
      </c>
      <c r="E164" s="108">
        <v>13.43</v>
      </c>
      <c r="F164" s="109">
        <f t="shared" si="12"/>
        <v>322.32</v>
      </c>
    </row>
    <row r="165" spans="1:6" ht="25.5" customHeight="1">
      <c r="A165" s="105">
        <v>1091</v>
      </c>
      <c r="B165" s="105" t="s">
        <v>713</v>
      </c>
      <c r="C165" s="105" t="s">
        <v>28</v>
      </c>
      <c r="D165" s="107">
        <v>1</v>
      </c>
      <c r="E165" s="108">
        <v>18.649999999999999</v>
      </c>
      <c r="F165" s="109">
        <f t="shared" si="12"/>
        <v>18.649999999999999</v>
      </c>
    </row>
    <row r="166" spans="1:6" ht="24">
      <c r="A166" s="105" t="str">
        <f>'PB VII - Cotações'!A14</f>
        <v>COTAÇÃO 003</v>
      </c>
      <c r="B166" s="105" t="s">
        <v>714</v>
      </c>
      <c r="C166" s="105" t="s">
        <v>28</v>
      </c>
      <c r="D166" s="107">
        <v>1</v>
      </c>
      <c r="E166" s="108">
        <f>'PB VII - Cotações'!F16</f>
        <v>96.88</v>
      </c>
      <c r="F166" s="109">
        <f t="shared" si="12"/>
        <v>96.88</v>
      </c>
    </row>
    <row r="167" spans="1:6">
      <c r="A167" s="105">
        <v>2680</v>
      </c>
      <c r="B167" s="105" t="s">
        <v>715</v>
      </c>
      <c r="C167" s="105" t="s">
        <v>55</v>
      </c>
      <c r="D167" s="107">
        <v>9</v>
      </c>
      <c r="E167" s="108">
        <v>4.75</v>
      </c>
      <c r="F167" s="109">
        <f t="shared" si="12"/>
        <v>42.75</v>
      </c>
    </row>
    <row r="168" spans="1:6">
      <c r="A168" s="105">
        <v>1893</v>
      </c>
      <c r="B168" s="105" t="s">
        <v>716</v>
      </c>
      <c r="C168" s="105" t="s">
        <v>28</v>
      </c>
      <c r="D168" s="107">
        <v>2</v>
      </c>
      <c r="E168" s="108">
        <v>1.89</v>
      </c>
      <c r="F168" s="109">
        <f t="shared" si="12"/>
        <v>3.78</v>
      </c>
    </row>
    <row r="169" spans="1:6" ht="24">
      <c r="A169" s="105">
        <v>3383</v>
      </c>
      <c r="B169" s="105" t="s">
        <v>701</v>
      </c>
      <c r="C169" s="105" t="s">
        <v>28</v>
      </c>
      <c r="D169" s="107">
        <v>1</v>
      </c>
      <c r="E169" s="108">
        <v>18.7</v>
      </c>
      <c r="F169" s="109">
        <f t="shared" si="12"/>
        <v>18.7</v>
      </c>
    </row>
    <row r="170" spans="1:6" ht="24">
      <c r="A170" s="105">
        <v>3398</v>
      </c>
      <c r="B170" s="105" t="s">
        <v>717</v>
      </c>
      <c r="C170" s="105" t="s">
        <v>28</v>
      </c>
      <c r="D170" s="107">
        <v>2</v>
      </c>
      <c r="E170" s="108">
        <v>2.95</v>
      </c>
      <c r="F170" s="109">
        <f t="shared" si="12"/>
        <v>5.9</v>
      </c>
    </row>
    <row r="171" spans="1:6" ht="25.5" customHeight="1">
      <c r="A171" s="105" t="str">
        <f>'PB VII - Cotações'!A18</f>
        <v>COTAÇÃO 004</v>
      </c>
      <c r="B171" s="105" t="s">
        <v>718</v>
      </c>
      <c r="C171" s="105" t="s">
        <v>28</v>
      </c>
      <c r="D171" s="107">
        <v>1</v>
      </c>
      <c r="E171" s="108">
        <f>'PB VII - Cotações'!F20</f>
        <v>325</v>
      </c>
      <c r="F171" s="109">
        <f t="shared" si="12"/>
        <v>325</v>
      </c>
    </row>
    <row r="172" spans="1:6" ht="24">
      <c r="A172" s="105" t="str">
        <f>'PB VII - Cotações'!A22</f>
        <v>COTAÇÃO 005</v>
      </c>
      <c r="B172" s="105" t="s">
        <v>719</v>
      </c>
      <c r="C172" s="105" t="s">
        <v>28</v>
      </c>
      <c r="D172" s="107">
        <v>1</v>
      </c>
      <c r="E172" s="108">
        <f>'PB VII - Cotações'!F24</f>
        <v>90.58</v>
      </c>
      <c r="F172" s="109">
        <f t="shared" si="12"/>
        <v>90.58</v>
      </c>
    </row>
    <row r="173" spans="1:6">
      <c r="A173" s="105">
        <v>88264</v>
      </c>
      <c r="B173" s="105" t="s">
        <v>695</v>
      </c>
      <c r="C173" s="105" t="s">
        <v>623</v>
      </c>
      <c r="D173" s="107">
        <v>6</v>
      </c>
      <c r="E173" s="108">
        <v>21.45</v>
      </c>
      <c r="F173" s="109">
        <f t="shared" si="12"/>
        <v>128.69999999999999</v>
      </c>
    </row>
    <row r="174" spans="1:6">
      <c r="A174" s="105">
        <v>88316</v>
      </c>
      <c r="B174" s="105" t="s">
        <v>638</v>
      </c>
      <c r="C174" s="105" t="s">
        <v>623</v>
      </c>
      <c r="D174" s="107">
        <v>6</v>
      </c>
      <c r="E174" s="108">
        <v>14.55</v>
      </c>
      <c r="F174" s="109">
        <f t="shared" si="12"/>
        <v>87.3</v>
      </c>
    </row>
    <row r="175" spans="1:6">
      <c r="A175" s="124"/>
      <c r="B175" s="124"/>
      <c r="C175" s="124"/>
      <c r="D175" s="516" t="s">
        <v>366</v>
      </c>
      <c r="E175" s="516"/>
      <c r="F175" s="112">
        <f>SUM(F161:F174)</f>
        <v>1165.54</v>
      </c>
    </row>
    <row r="176" spans="1:6">
      <c r="A176" s="124"/>
      <c r="B176" s="124"/>
      <c r="C176" s="124"/>
      <c r="D176" s="124"/>
      <c r="E176" s="125"/>
      <c r="F176" s="124"/>
    </row>
    <row r="177" spans="1:6" ht="25.5" customHeight="1">
      <c r="A177" s="101" t="s">
        <v>416</v>
      </c>
      <c r="B177" s="513" t="s">
        <v>720</v>
      </c>
      <c r="C177" s="514"/>
      <c r="D177" s="515"/>
      <c r="E177" s="102" t="s">
        <v>617</v>
      </c>
      <c r="F177" s="102" t="s">
        <v>618</v>
      </c>
    </row>
    <row r="178" spans="1:6">
      <c r="A178" s="103" t="s">
        <v>619</v>
      </c>
      <c r="B178" s="104" t="s">
        <v>620</v>
      </c>
      <c r="C178" s="104" t="s">
        <v>621</v>
      </c>
      <c r="D178" s="104" t="s">
        <v>9</v>
      </c>
      <c r="E178" s="104" t="s">
        <v>10</v>
      </c>
      <c r="F178" s="104" t="s">
        <v>11</v>
      </c>
    </row>
    <row r="179" spans="1:6" ht="36">
      <c r="A179" s="127">
        <v>91946</v>
      </c>
      <c r="B179" s="127" t="s">
        <v>721</v>
      </c>
      <c r="C179" s="127" t="s">
        <v>28</v>
      </c>
      <c r="D179" s="128">
        <v>1</v>
      </c>
      <c r="E179" s="129">
        <v>5.12</v>
      </c>
      <c r="F179" s="109">
        <f>ROUND(E179*D179,2)</f>
        <v>5.12</v>
      </c>
    </row>
    <row r="180" spans="1:6">
      <c r="A180" s="127">
        <v>38104</v>
      </c>
      <c r="B180" s="127" t="s">
        <v>722</v>
      </c>
      <c r="C180" s="127" t="s">
        <v>28</v>
      </c>
      <c r="D180" s="128">
        <v>1</v>
      </c>
      <c r="E180" s="129">
        <v>18.04</v>
      </c>
      <c r="F180" s="109">
        <f>ROUND(E180*D180,2)</f>
        <v>18.04</v>
      </c>
    </row>
    <row r="181" spans="1:6">
      <c r="A181" s="124"/>
      <c r="B181" s="124"/>
      <c r="C181" s="124"/>
      <c r="D181" s="516" t="s">
        <v>366</v>
      </c>
      <c r="E181" s="516"/>
      <c r="F181" s="112">
        <f>SUM(F179:F180)</f>
        <v>23.16</v>
      </c>
    </row>
    <row r="182" spans="1:6">
      <c r="A182" s="124"/>
      <c r="B182" s="124"/>
      <c r="C182" s="124"/>
      <c r="D182" s="124"/>
      <c r="E182" s="125"/>
      <c r="F182" s="124"/>
    </row>
    <row r="183" spans="1:6" ht="25.5" customHeight="1">
      <c r="A183" s="101" t="s">
        <v>408</v>
      </c>
      <c r="B183" s="513" t="s">
        <v>284</v>
      </c>
      <c r="C183" s="514"/>
      <c r="D183" s="515"/>
      <c r="E183" s="102" t="s">
        <v>617</v>
      </c>
      <c r="F183" s="102" t="s">
        <v>618</v>
      </c>
    </row>
    <row r="184" spans="1:6">
      <c r="A184" s="103" t="s">
        <v>619</v>
      </c>
      <c r="B184" s="104" t="s">
        <v>620</v>
      </c>
      <c r="C184" s="104" t="s">
        <v>621</v>
      </c>
      <c r="D184" s="104" t="s">
        <v>9</v>
      </c>
      <c r="E184" s="104" t="s">
        <v>10</v>
      </c>
      <c r="F184" s="104" t="s">
        <v>11</v>
      </c>
    </row>
    <row r="185" spans="1:6" ht="24">
      <c r="A185" s="105">
        <v>91947</v>
      </c>
      <c r="B185" s="105" t="s">
        <v>723</v>
      </c>
      <c r="C185" s="105" t="s">
        <v>28</v>
      </c>
      <c r="D185" s="107">
        <v>1</v>
      </c>
      <c r="E185" s="108">
        <v>4.3499999999999996</v>
      </c>
      <c r="F185" s="109">
        <v>4.3499999999999996</v>
      </c>
    </row>
    <row r="186" spans="1:6">
      <c r="A186" s="105">
        <v>38104</v>
      </c>
      <c r="B186" s="105" t="s">
        <v>722</v>
      </c>
      <c r="C186" s="105" t="s">
        <v>28</v>
      </c>
      <c r="D186" s="107">
        <v>2</v>
      </c>
      <c r="E186" s="108">
        <v>18.04</v>
      </c>
      <c r="F186" s="109">
        <f>ROUND(E186*D186,2)</f>
        <v>36.08</v>
      </c>
    </row>
    <row r="187" spans="1:6">
      <c r="A187" s="124"/>
      <c r="B187" s="124"/>
      <c r="C187" s="124"/>
      <c r="D187" s="516" t="s">
        <v>366</v>
      </c>
      <c r="E187" s="516"/>
      <c r="F187" s="112">
        <f>SUM(F185:F186)</f>
        <v>40.43</v>
      </c>
    </row>
    <row r="188" spans="1:6">
      <c r="A188" s="124"/>
      <c r="B188" s="124"/>
      <c r="C188" s="124"/>
      <c r="D188" s="124"/>
      <c r="E188" s="125"/>
      <c r="F188" s="124"/>
    </row>
    <row r="189" spans="1:6" ht="24">
      <c r="A189" s="101" t="s">
        <v>398</v>
      </c>
      <c r="B189" s="513" t="s">
        <v>724</v>
      </c>
      <c r="C189" s="514"/>
      <c r="D189" s="515"/>
      <c r="E189" s="102" t="s">
        <v>617</v>
      </c>
      <c r="F189" s="102" t="s">
        <v>618</v>
      </c>
    </row>
    <row r="190" spans="1:6">
      <c r="A190" s="103" t="s">
        <v>619</v>
      </c>
      <c r="B190" s="104" t="s">
        <v>620</v>
      </c>
      <c r="C190" s="104" t="s">
        <v>621</v>
      </c>
      <c r="D190" s="104" t="s">
        <v>9</v>
      </c>
      <c r="E190" s="104" t="s">
        <v>10</v>
      </c>
      <c r="F190" s="104" t="s">
        <v>11</v>
      </c>
    </row>
    <row r="191" spans="1:6" ht="24">
      <c r="A191" s="105">
        <v>91951</v>
      </c>
      <c r="B191" s="105" t="s">
        <v>725</v>
      </c>
      <c r="C191" s="105" t="s">
        <v>28</v>
      </c>
      <c r="D191" s="107">
        <v>1</v>
      </c>
      <c r="E191" s="108">
        <v>6.92</v>
      </c>
      <c r="F191" s="109">
        <f>ROUND(E191*D191,2)</f>
        <v>6.92</v>
      </c>
    </row>
    <row r="192" spans="1:6">
      <c r="A192" s="105">
        <v>38104</v>
      </c>
      <c r="B192" s="105" t="s">
        <v>722</v>
      </c>
      <c r="C192" s="105" t="s">
        <v>28</v>
      </c>
      <c r="D192" s="107">
        <v>3</v>
      </c>
      <c r="E192" s="108">
        <v>18.04</v>
      </c>
      <c r="F192" s="109">
        <v>55.92</v>
      </c>
    </row>
    <row r="193" spans="1:6">
      <c r="A193" s="124"/>
      <c r="B193" s="124"/>
      <c r="C193" s="124"/>
      <c r="D193" s="516" t="s">
        <v>366</v>
      </c>
      <c r="E193" s="516"/>
      <c r="F193" s="112">
        <f>SUM(F191:F192)</f>
        <v>62.84</v>
      </c>
    </row>
    <row r="194" spans="1:6">
      <c r="A194" s="124"/>
      <c r="B194" s="124"/>
      <c r="C194" s="124"/>
      <c r="D194" s="124"/>
      <c r="E194" s="125"/>
      <c r="F194" s="124"/>
    </row>
    <row r="195" spans="1:6" ht="24">
      <c r="A195" s="101" t="s">
        <v>401</v>
      </c>
      <c r="B195" s="513" t="s">
        <v>288</v>
      </c>
      <c r="C195" s="514"/>
      <c r="D195" s="515"/>
      <c r="E195" s="102" t="s">
        <v>617</v>
      </c>
      <c r="F195" s="102" t="s">
        <v>618</v>
      </c>
    </row>
    <row r="196" spans="1:6">
      <c r="A196" s="103" t="s">
        <v>619</v>
      </c>
      <c r="B196" s="104" t="s">
        <v>620</v>
      </c>
      <c r="C196" s="104" t="s">
        <v>621</v>
      </c>
      <c r="D196" s="104" t="s">
        <v>9</v>
      </c>
      <c r="E196" s="104" t="s">
        <v>10</v>
      </c>
      <c r="F196" s="104" t="s">
        <v>11</v>
      </c>
    </row>
    <row r="197" spans="1:6">
      <c r="A197" s="105">
        <v>88264</v>
      </c>
      <c r="B197" s="105" t="s">
        <v>633</v>
      </c>
      <c r="C197" s="105" t="s">
        <v>623</v>
      </c>
      <c r="D197" s="107">
        <v>6.3E-2</v>
      </c>
      <c r="E197" s="108">
        <v>21.45</v>
      </c>
      <c r="F197" s="109">
        <v>1.35</v>
      </c>
    </row>
    <row r="198" spans="1:6" ht="24">
      <c r="A198" s="105">
        <v>88247</v>
      </c>
      <c r="B198" s="105" t="s">
        <v>726</v>
      </c>
      <c r="C198" s="105" t="s">
        <v>623</v>
      </c>
      <c r="D198" s="107">
        <v>6.3E-2</v>
      </c>
      <c r="E198" s="108">
        <v>17.28</v>
      </c>
      <c r="F198" s="109">
        <f t="shared" ref="F198:F200" si="13">ROUND(E198*D198,2)</f>
        <v>1.0900000000000001</v>
      </c>
    </row>
    <row r="199" spans="1:6" ht="24">
      <c r="A199" s="105" t="str">
        <f>'PB VII - Cotações'!A46</f>
        <v>COTAÇÃO 010</v>
      </c>
      <c r="B199" s="105" t="s">
        <v>727</v>
      </c>
      <c r="C199" s="105" t="s">
        <v>28</v>
      </c>
      <c r="D199" s="107">
        <v>0.33033333333333298</v>
      </c>
      <c r="E199" s="108">
        <v>17.77</v>
      </c>
      <c r="F199" s="109">
        <f t="shared" si="13"/>
        <v>5.87</v>
      </c>
    </row>
    <row r="200" spans="1:6" ht="48">
      <c r="A200" s="105">
        <v>91170</v>
      </c>
      <c r="B200" s="105" t="s">
        <v>728</v>
      </c>
      <c r="C200" s="105" t="s">
        <v>55</v>
      </c>
      <c r="D200" s="107">
        <v>1</v>
      </c>
      <c r="E200" s="108">
        <v>2.41</v>
      </c>
      <c r="F200" s="109">
        <f t="shared" si="13"/>
        <v>2.41</v>
      </c>
    </row>
    <row r="201" spans="1:6">
      <c r="A201" s="124"/>
      <c r="B201" s="124"/>
      <c r="C201" s="124"/>
      <c r="D201" s="516" t="s">
        <v>366</v>
      </c>
      <c r="E201" s="516"/>
      <c r="F201" s="112">
        <f>SUM(F197:F200)</f>
        <v>10.72</v>
      </c>
    </row>
    <row r="202" spans="1:6">
      <c r="A202" s="124"/>
      <c r="B202" s="124"/>
      <c r="C202" s="124"/>
      <c r="D202" s="124"/>
      <c r="E202" s="125"/>
      <c r="F202" s="124"/>
    </row>
    <row r="203" spans="1:6" ht="24">
      <c r="A203" s="101" t="s">
        <v>412</v>
      </c>
      <c r="B203" s="513" t="s">
        <v>291</v>
      </c>
      <c r="C203" s="514"/>
      <c r="D203" s="515"/>
      <c r="E203" s="102" t="s">
        <v>617</v>
      </c>
      <c r="F203" s="102" t="s">
        <v>618</v>
      </c>
    </row>
    <row r="204" spans="1:6">
      <c r="A204" s="103" t="s">
        <v>619</v>
      </c>
      <c r="B204" s="104" t="s">
        <v>620</v>
      </c>
      <c r="C204" s="104" t="s">
        <v>621</v>
      </c>
      <c r="D204" s="104" t="s">
        <v>9</v>
      </c>
      <c r="E204" s="104" t="s">
        <v>10</v>
      </c>
      <c r="F204" s="104" t="s">
        <v>11</v>
      </c>
    </row>
    <row r="205" spans="1:6">
      <c r="A205" s="105">
        <v>88264</v>
      </c>
      <c r="B205" s="105" t="s">
        <v>633</v>
      </c>
      <c r="C205" s="105" t="s">
        <v>623</v>
      </c>
      <c r="D205" s="107">
        <v>0.251</v>
      </c>
      <c r="E205" s="108">
        <v>21.45</v>
      </c>
      <c r="F205" s="109">
        <v>5.38</v>
      </c>
    </row>
    <row r="206" spans="1:6" ht="24">
      <c r="A206" s="105">
        <v>88247</v>
      </c>
      <c r="B206" s="105" t="s">
        <v>726</v>
      </c>
      <c r="C206" s="105" t="s">
        <v>623</v>
      </c>
      <c r="D206" s="107">
        <v>0.251</v>
      </c>
      <c r="E206" s="108">
        <v>17.28</v>
      </c>
      <c r="F206" s="109">
        <f t="shared" ref="F206:F211" si="14">ROUND(D206*E206,2)</f>
        <v>4.34</v>
      </c>
    </row>
    <row r="207" spans="1:6" ht="24">
      <c r="A207" s="105" t="str">
        <f>'PB VII - Cotações'!A51</f>
        <v>COTAÇÃO 011</v>
      </c>
      <c r="B207" s="105" t="s">
        <v>729</v>
      </c>
      <c r="C207" s="105" t="s">
        <v>28</v>
      </c>
      <c r="D207" s="107">
        <v>1</v>
      </c>
      <c r="E207" s="108">
        <f>'PB VII - Cotações'!F53</f>
        <v>12.17</v>
      </c>
      <c r="F207" s="109">
        <f t="shared" si="14"/>
        <v>12.17</v>
      </c>
    </row>
    <row r="208" spans="1:6" ht="24">
      <c r="A208" s="105" t="str">
        <f>'PB VII - Cotações'!A29</f>
        <v>COTAÇÃO 006</v>
      </c>
      <c r="B208" s="105" t="s">
        <v>730</v>
      </c>
      <c r="C208" s="105" t="s">
        <v>28</v>
      </c>
      <c r="D208" s="107">
        <v>6</v>
      </c>
      <c r="E208" s="108">
        <f>'PB VII - Cotações'!F31</f>
        <v>0.61</v>
      </c>
      <c r="F208" s="109">
        <f t="shared" si="14"/>
        <v>3.66</v>
      </c>
    </row>
    <row r="209" spans="1:6" ht="24">
      <c r="A209" s="105" t="str">
        <f>'PB VII - Cotações'!A33</f>
        <v>COTAÇÃO 007</v>
      </c>
      <c r="B209" s="105" t="s">
        <v>731</v>
      </c>
      <c r="C209" s="105" t="s">
        <v>28</v>
      </c>
      <c r="D209" s="107">
        <v>25.2</v>
      </c>
      <c r="E209" s="108">
        <v>0.13</v>
      </c>
      <c r="F209" s="109">
        <f t="shared" si="14"/>
        <v>3.28</v>
      </c>
    </row>
    <row r="210" spans="1:6" ht="24">
      <c r="A210" s="105" t="str">
        <f>'PB VII - Cotações'!A37</f>
        <v>COTAÇÃO 008</v>
      </c>
      <c r="B210" s="105" t="s">
        <v>732</v>
      </c>
      <c r="C210" s="105" t="s">
        <v>28</v>
      </c>
      <c r="D210" s="107">
        <v>25.2</v>
      </c>
      <c r="E210" s="108">
        <f>'PB VII - Cotações'!F39</f>
        <v>0.16</v>
      </c>
      <c r="F210" s="109">
        <f t="shared" si="14"/>
        <v>4.03</v>
      </c>
    </row>
    <row r="211" spans="1:6" ht="24">
      <c r="A211" s="105" t="str">
        <f>'PB VII - Cotações'!A41</f>
        <v>COTAÇÃO 009</v>
      </c>
      <c r="B211" s="105" t="s">
        <v>733</v>
      </c>
      <c r="C211" s="105" t="s">
        <v>28</v>
      </c>
      <c r="D211" s="107">
        <v>25.2</v>
      </c>
      <c r="E211" s="108">
        <f>'PB VII - Cotações'!F43</f>
        <v>0.09</v>
      </c>
      <c r="F211" s="109">
        <f t="shared" si="14"/>
        <v>2.27</v>
      </c>
    </row>
    <row r="212" spans="1:6">
      <c r="A212" s="124"/>
      <c r="B212" s="124"/>
      <c r="C212" s="124"/>
      <c r="D212" s="516" t="s">
        <v>366</v>
      </c>
      <c r="E212" s="516"/>
      <c r="F212" s="112">
        <f>SUM(F205:F211)</f>
        <v>35.130000000000003</v>
      </c>
    </row>
    <row r="213" spans="1:6">
      <c r="A213" s="124"/>
      <c r="B213" s="124"/>
      <c r="C213" s="124"/>
      <c r="D213" s="124"/>
      <c r="E213" s="125"/>
      <c r="F213" s="124"/>
    </row>
    <row r="214" spans="1:6">
      <c r="A214" s="124"/>
      <c r="B214" s="124"/>
      <c r="C214" s="124"/>
      <c r="D214" s="124"/>
      <c r="E214" s="125"/>
      <c r="F214" s="124"/>
    </row>
    <row r="215" spans="1:6" ht="24">
      <c r="A215" s="101" t="s">
        <v>413</v>
      </c>
      <c r="B215" s="513" t="s">
        <v>734</v>
      </c>
      <c r="C215" s="514"/>
      <c r="D215" s="515"/>
      <c r="E215" s="102" t="s">
        <v>617</v>
      </c>
      <c r="F215" s="102" t="s">
        <v>618</v>
      </c>
    </row>
    <row r="216" spans="1:6">
      <c r="A216" s="103" t="s">
        <v>619</v>
      </c>
      <c r="B216" s="104" t="s">
        <v>620</v>
      </c>
      <c r="C216" s="104" t="s">
        <v>621</v>
      </c>
      <c r="D216" s="104" t="s">
        <v>9</v>
      </c>
      <c r="E216" s="104" t="s">
        <v>10</v>
      </c>
      <c r="F216" s="104" t="s">
        <v>11</v>
      </c>
    </row>
    <row r="217" spans="1:6">
      <c r="A217" s="105">
        <v>88264</v>
      </c>
      <c r="B217" s="105" t="s">
        <v>633</v>
      </c>
      <c r="C217" s="105" t="s">
        <v>623</v>
      </c>
      <c r="D217" s="107">
        <v>0.188</v>
      </c>
      <c r="E217" s="108">
        <v>21.45</v>
      </c>
      <c r="F217" s="109">
        <f>ROUND(E217*D217,2)</f>
        <v>4.03</v>
      </c>
    </row>
    <row r="218" spans="1:6" ht="24">
      <c r="A218" s="105">
        <v>88247</v>
      </c>
      <c r="B218" s="105" t="s">
        <v>726</v>
      </c>
      <c r="C218" s="105" t="s">
        <v>623</v>
      </c>
      <c r="D218" s="107">
        <v>0.188</v>
      </c>
      <c r="E218" s="108">
        <v>17.28</v>
      </c>
      <c r="F218" s="109">
        <f t="shared" ref="F218:F223" si="15">ROUND(E218*D218,2)</f>
        <v>3.25</v>
      </c>
    </row>
    <row r="219" spans="1:6" ht="24">
      <c r="A219" s="105" t="str">
        <f>'PB VII - Cotações'!A55</f>
        <v>COTAÇÃO 012</v>
      </c>
      <c r="B219" s="105" t="s">
        <v>735</v>
      </c>
      <c r="C219" s="105" t="s">
        <v>28</v>
      </c>
      <c r="D219" s="107">
        <v>1</v>
      </c>
      <c r="E219" s="108">
        <v>11.7</v>
      </c>
      <c r="F219" s="109">
        <f t="shared" si="15"/>
        <v>11.7</v>
      </c>
    </row>
    <row r="220" spans="1:6" ht="24">
      <c r="A220" s="105" t="str">
        <f>'PB VII - Cotações'!A29</f>
        <v>COTAÇÃO 006</v>
      </c>
      <c r="B220" s="105" t="s">
        <v>730</v>
      </c>
      <c r="C220" s="105" t="s">
        <v>28</v>
      </c>
      <c r="D220" s="107">
        <v>4</v>
      </c>
      <c r="E220" s="108">
        <f>'PB VII - Cotações'!F31</f>
        <v>0.61</v>
      </c>
      <c r="F220" s="109">
        <f t="shared" si="15"/>
        <v>2.44</v>
      </c>
    </row>
    <row r="221" spans="1:6" ht="24">
      <c r="A221" s="105" t="str">
        <f>'PB VII - Cotações'!A33</f>
        <v>COTAÇÃO 007</v>
      </c>
      <c r="B221" s="105" t="s">
        <v>731</v>
      </c>
      <c r="C221" s="105" t="s">
        <v>28</v>
      </c>
      <c r="D221" s="107">
        <v>16.8</v>
      </c>
      <c r="E221" s="108">
        <f>'PB VII - Cotações'!F35</f>
        <v>0.1</v>
      </c>
      <c r="F221" s="109">
        <f t="shared" si="15"/>
        <v>1.68</v>
      </c>
    </row>
    <row r="222" spans="1:6" ht="24">
      <c r="A222" s="105" t="str">
        <f>'PB VII - Cotações'!A37</f>
        <v>COTAÇÃO 008</v>
      </c>
      <c r="B222" s="105" t="s">
        <v>732</v>
      </c>
      <c r="C222" s="105" t="s">
        <v>28</v>
      </c>
      <c r="D222" s="107">
        <v>16.8</v>
      </c>
      <c r="E222" s="108">
        <f>'PB VII - Cotações'!F39</f>
        <v>0.16</v>
      </c>
      <c r="F222" s="109">
        <f t="shared" si="15"/>
        <v>2.69</v>
      </c>
    </row>
    <row r="223" spans="1:6" ht="24">
      <c r="A223" s="105" t="str">
        <f>'PB VII - Cotações'!A41</f>
        <v>COTAÇÃO 009</v>
      </c>
      <c r="B223" s="105" t="s">
        <v>733</v>
      </c>
      <c r="C223" s="105" t="s">
        <v>28</v>
      </c>
      <c r="D223" s="107">
        <v>16.8</v>
      </c>
      <c r="E223" s="108">
        <f>'PB VII - Cotações'!F43</f>
        <v>0.09</v>
      </c>
      <c r="F223" s="109">
        <f t="shared" si="15"/>
        <v>1.51</v>
      </c>
    </row>
    <row r="224" spans="1:6" ht="25.5" customHeight="1">
      <c r="A224" s="124"/>
      <c r="B224" s="124"/>
      <c r="C224" s="124"/>
      <c r="D224" s="516" t="s">
        <v>366</v>
      </c>
      <c r="E224" s="516"/>
      <c r="F224" s="112">
        <f>SUM(F217:F223)</f>
        <v>27.3</v>
      </c>
    </row>
    <row r="225" spans="1:6">
      <c r="A225" s="124"/>
      <c r="B225" s="124"/>
      <c r="C225" s="124"/>
      <c r="D225" s="124"/>
      <c r="E225" s="125"/>
      <c r="F225" s="124"/>
    </row>
    <row r="226" spans="1:6" ht="24">
      <c r="A226" s="101" t="s">
        <v>420</v>
      </c>
      <c r="B226" s="513" t="s">
        <v>295</v>
      </c>
      <c r="C226" s="514"/>
      <c r="D226" s="515"/>
      <c r="E226" s="102" t="s">
        <v>617</v>
      </c>
      <c r="F226" s="102" t="s">
        <v>618</v>
      </c>
    </row>
    <row r="227" spans="1:6">
      <c r="A227" s="103" t="s">
        <v>619</v>
      </c>
      <c r="B227" s="104" t="s">
        <v>620</v>
      </c>
      <c r="C227" s="104" t="s">
        <v>621</v>
      </c>
      <c r="D227" s="104" t="s">
        <v>9</v>
      </c>
      <c r="E227" s="104" t="s">
        <v>10</v>
      </c>
      <c r="F227" s="104" t="s">
        <v>11</v>
      </c>
    </row>
    <row r="228" spans="1:6">
      <c r="A228" s="106">
        <v>88264</v>
      </c>
      <c r="B228" s="106" t="s">
        <v>633</v>
      </c>
      <c r="C228" s="106" t="s">
        <v>623</v>
      </c>
      <c r="D228" s="107">
        <v>0.251</v>
      </c>
      <c r="E228" s="140">
        <v>21.45</v>
      </c>
      <c r="F228" s="141">
        <f>ROUND(E228*D228,2)</f>
        <v>5.38</v>
      </c>
    </row>
    <row r="229" spans="1:6" ht="24">
      <c r="A229" s="106">
        <v>88247</v>
      </c>
      <c r="B229" s="106" t="s">
        <v>726</v>
      </c>
      <c r="C229" s="106" t="s">
        <v>623</v>
      </c>
      <c r="D229" s="107">
        <v>0.251</v>
      </c>
      <c r="E229" s="140">
        <v>17.28</v>
      </c>
      <c r="F229" s="141">
        <f t="shared" ref="F229:F231" si="16">ROUND(E229*D229,2)</f>
        <v>4.34</v>
      </c>
    </row>
    <row r="230" spans="1:6" ht="24">
      <c r="A230" s="142" t="s">
        <v>736</v>
      </c>
      <c r="B230" s="106" t="s">
        <v>737</v>
      </c>
      <c r="C230" s="106" t="s">
        <v>28</v>
      </c>
      <c r="D230" s="107">
        <v>1</v>
      </c>
      <c r="E230" s="140">
        <f>'PB VII - Cotações'!F69</f>
        <v>8.7799999999999994</v>
      </c>
      <c r="F230" s="141">
        <f t="shared" si="16"/>
        <v>8.7799999999999994</v>
      </c>
    </row>
    <row r="231" spans="1:6" ht="24">
      <c r="A231" s="106" t="str">
        <f>'PB VII - Cotações'!A29</f>
        <v>COTAÇÃO 006</v>
      </c>
      <c r="B231" s="106" t="s">
        <v>730</v>
      </c>
      <c r="C231" s="106" t="s">
        <v>28</v>
      </c>
      <c r="D231" s="107">
        <v>2</v>
      </c>
      <c r="E231" s="140">
        <f>'PB VII - Cotações'!F31</f>
        <v>0.61</v>
      </c>
      <c r="F231" s="141">
        <f t="shared" si="16"/>
        <v>1.22</v>
      </c>
    </row>
    <row r="232" spans="1:6" ht="25.5" customHeight="1">
      <c r="A232" s="124"/>
      <c r="B232" s="124"/>
      <c r="C232" s="124"/>
      <c r="D232" s="516" t="s">
        <v>366</v>
      </c>
      <c r="E232" s="516"/>
      <c r="F232" s="112">
        <f>SUM(F228:F231)</f>
        <v>19.72</v>
      </c>
    </row>
    <row r="233" spans="1:6">
      <c r="A233" s="124"/>
      <c r="B233" s="124"/>
      <c r="C233" s="124"/>
      <c r="D233" s="124"/>
      <c r="E233" s="125"/>
      <c r="F233" s="124"/>
    </row>
    <row r="234" spans="1:6" ht="24">
      <c r="A234" s="101" t="s">
        <v>417</v>
      </c>
      <c r="B234" s="513" t="s">
        <v>738</v>
      </c>
      <c r="C234" s="514"/>
      <c r="D234" s="515"/>
      <c r="E234" s="102" t="s">
        <v>617</v>
      </c>
      <c r="F234" s="102" t="s">
        <v>618</v>
      </c>
    </row>
    <row r="235" spans="1:6">
      <c r="A235" s="103" t="s">
        <v>619</v>
      </c>
      <c r="B235" s="104" t="s">
        <v>620</v>
      </c>
      <c r="C235" s="104" t="s">
        <v>621</v>
      </c>
      <c r="D235" s="104" t="s">
        <v>9</v>
      </c>
      <c r="E235" s="104" t="s">
        <v>10</v>
      </c>
      <c r="F235" s="104" t="s">
        <v>11</v>
      </c>
    </row>
    <row r="236" spans="1:6">
      <c r="A236" s="106">
        <v>88264</v>
      </c>
      <c r="B236" s="106" t="s">
        <v>633</v>
      </c>
      <c r="C236" s="106" t="s">
        <v>623</v>
      </c>
      <c r="D236" s="107">
        <v>0.16</v>
      </c>
      <c r="E236" s="140">
        <v>21.45</v>
      </c>
      <c r="F236" s="141">
        <f>ROUND(D236*E236,2)</f>
        <v>3.43</v>
      </c>
    </row>
    <row r="237" spans="1:6" ht="24">
      <c r="A237" s="106">
        <v>88247</v>
      </c>
      <c r="B237" s="106" t="s">
        <v>726</v>
      </c>
      <c r="C237" s="106" t="s">
        <v>623</v>
      </c>
      <c r="D237" s="107">
        <v>0.16</v>
      </c>
      <c r="E237" s="140">
        <v>17.28</v>
      </c>
      <c r="F237" s="141">
        <f t="shared" ref="F237:F238" si="17">ROUND(D237*E237,2)</f>
        <v>2.76</v>
      </c>
    </row>
    <row r="238" spans="1:6" ht="24">
      <c r="A238" s="106" t="str">
        <f>'PB VII - Cotações'!A59</f>
        <v>COTAÇÃO 013</v>
      </c>
      <c r="B238" s="106" t="s">
        <v>739</v>
      </c>
      <c r="C238" s="106" t="s">
        <v>28</v>
      </c>
      <c r="D238" s="107">
        <v>1</v>
      </c>
      <c r="E238" s="140">
        <f>'PB VII - Cotações'!F61</f>
        <v>1.04</v>
      </c>
      <c r="F238" s="141">
        <f t="shared" si="17"/>
        <v>1.04</v>
      </c>
    </row>
    <row r="239" spans="1:6" ht="25.5" customHeight="1">
      <c r="A239" s="124"/>
      <c r="B239" s="124"/>
      <c r="C239" s="124"/>
      <c r="D239" s="516" t="s">
        <v>366</v>
      </c>
      <c r="E239" s="516"/>
      <c r="F239" s="112">
        <f>SUM(F236:F238)</f>
        <v>7.23</v>
      </c>
    </row>
    <row r="240" spans="1:6">
      <c r="A240" s="124"/>
      <c r="B240" s="124"/>
      <c r="C240" s="124"/>
      <c r="D240" s="124"/>
      <c r="E240" s="125"/>
      <c r="F240" s="124"/>
    </row>
    <row r="241" spans="1:6" ht="24">
      <c r="A241" s="101" t="s">
        <v>411</v>
      </c>
      <c r="B241" s="513" t="s">
        <v>299</v>
      </c>
      <c r="C241" s="514"/>
      <c r="D241" s="515"/>
      <c r="E241" s="102" t="s">
        <v>617</v>
      </c>
      <c r="F241" s="102" t="s">
        <v>618</v>
      </c>
    </row>
    <row r="242" spans="1:6">
      <c r="A242" s="103" t="s">
        <v>619</v>
      </c>
      <c r="B242" s="104" t="s">
        <v>620</v>
      </c>
      <c r="C242" s="104" t="s">
        <v>621</v>
      </c>
      <c r="D242" s="104" t="s">
        <v>9</v>
      </c>
      <c r="E242" s="104" t="s">
        <v>10</v>
      </c>
      <c r="F242" s="104" t="s">
        <v>11</v>
      </c>
    </row>
    <row r="243" spans="1:6">
      <c r="A243" s="105">
        <v>88264</v>
      </c>
      <c r="B243" s="105" t="s">
        <v>633</v>
      </c>
      <c r="C243" s="105" t="s">
        <v>623</v>
      </c>
      <c r="D243" s="107">
        <v>0.16</v>
      </c>
      <c r="E243" s="108">
        <v>21.45</v>
      </c>
      <c r="F243" s="109">
        <f>ROUND(D243*E243,2)</f>
        <v>3.43</v>
      </c>
    </row>
    <row r="244" spans="1:6" ht="24">
      <c r="A244" s="105">
        <v>88247</v>
      </c>
      <c r="B244" s="105" t="s">
        <v>726</v>
      </c>
      <c r="C244" s="105" t="s">
        <v>623</v>
      </c>
      <c r="D244" s="107">
        <v>0.16</v>
      </c>
      <c r="E244" s="108">
        <v>17.28</v>
      </c>
      <c r="F244" s="109">
        <f t="shared" ref="F244:F245" si="18">ROUND(D244*E244,2)</f>
        <v>2.76</v>
      </c>
    </row>
    <row r="245" spans="1:6" ht="24">
      <c r="A245" s="105" t="str">
        <f>'PB VII - Cotações'!A63</f>
        <v>COTAÇÃO 014</v>
      </c>
      <c r="B245" s="105" t="s">
        <v>740</v>
      </c>
      <c r="C245" s="105" t="s">
        <v>28</v>
      </c>
      <c r="D245" s="107">
        <v>1</v>
      </c>
      <c r="E245" s="108">
        <f>'PB VII - Cotações'!F65</f>
        <v>1.02</v>
      </c>
      <c r="F245" s="109">
        <f t="shared" si="18"/>
        <v>1.02</v>
      </c>
    </row>
    <row r="246" spans="1:6">
      <c r="A246" s="124"/>
      <c r="B246" s="124"/>
      <c r="C246" s="124"/>
      <c r="D246" s="516" t="s">
        <v>366</v>
      </c>
      <c r="E246" s="516"/>
      <c r="F246" s="112">
        <f>SUM(F243:F245)</f>
        <v>7.21</v>
      </c>
    </row>
    <row r="247" spans="1:6">
      <c r="A247" s="124"/>
      <c r="B247" s="124"/>
      <c r="C247" s="124"/>
      <c r="D247" s="124"/>
      <c r="E247" s="125"/>
      <c r="F247" s="124"/>
    </row>
    <row r="248" spans="1:6" ht="24">
      <c r="A248" s="101" t="s">
        <v>387</v>
      </c>
      <c r="B248" s="513" t="s">
        <v>741</v>
      </c>
      <c r="C248" s="514"/>
      <c r="D248" s="515"/>
      <c r="E248" s="102" t="s">
        <v>617</v>
      </c>
      <c r="F248" s="102" t="s">
        <v>18</v>
      </c>
    </row>
    <row r="249" spans="1:6">
      <c r="A249" s="103" t="s">
        <v>619</v>
      </c>
      <c r="B249" s="104" t="s">
        <v>620</v>
      </c>
      <c r="C249" s="104" t="s">
        <v>621</v>
      </c>
      <c r="D249" s="104" t="s">
        <v>9</v>
      </c>
      <c r="E249" s="104" t="s">
        <v>10</v>
      </c>
      <c r="F249" s="104" t="s">
        <v>11</v>
      </c>
    </row>
    <row r="250" spans="1:6" ht="24">
      <c r="A250" s="106" t="s">
        <v>742</v>
      </c>
      <c r="B250" s="105" t="s">
        <v>743</v>
      </c>
      <c r="C250" s="105" t="s">
        <v>18</v>
      </c>
      <c r="D250" s="107">
        <v>1.05</v>
      </c>
      <c r="E250" s="108">
        <v>138.58000000000001</v>
      </c>
      <c r="F250" s="109">
        <f>ROUND(D250*E250,2)</f>
        <v>145.51</v>
      </c>
    </row>
    <row r="251" spans="1:6">
      <c r="A251" s="106" t="s">
        <v>744</v>
      </c>
      <c r="B251" s="105" t="s">
        <v>745</v>
      </c>
      <c r="C251" s="105" t="s">
        <v>18</v>
      </c>
      <c r="D251" s="107">
        <v>1.05</v>
      </c>
      <c r="E251" s="108">
        <v>27.45</v>
      </c>
      <c r="F251" s="109">
        <f t="shared" ref="F251:F253" si="19">ROUND(D251*E251,2)</f>
        <v>28.82</v>
      </c>
    </row>
    <row r="252" spans="1:6">
      <c r="A252" s="106" t="s">
        <v>746</v>
      </c>
      <c r="B252" s="105" t="s">
        <v>747</v>
      </c>
      <c r="C252" s="105" t="s">
        <v>629</v>
      </c>
      <c r="D252" s="107">
        <v>0.5</v>
      </c>
      <c r="E252" s="108">
        <v>21.12</v>
      </c>
      <c r="F252" s="109">
        <f t="shared" si="19"/>
        <v>10.56</v>
      </c>
    </row>
    <row r="253" spans="1:6">
      <c r="A253" s="106" t="s">
        <v>748</v>
      </c>
      <c r="B253" s="105" t="s">
        <v>749</v>
      </c>
      <c r="C253" s="105" t="s">
        <v>629</v>
      </c>
      <c r="D253" s="107">
        <v>0.5</v>
      </c>
      <c r="E253" s="108">
        <v>17.059999999999999</v>
      </c>
      <c r="F253" s="109">
        <f t="shared" si="19"/>
        <v>8.5299999999999994</v>
      </c>
    </row>
    <row r="254" spans="1:6">
      <c r="A254" s="143"/>
      <c r="B254" s="144"/>
      <c r="C254" s="145"/>
      <c r="D254" s="516" t="s">
        <v>366</v>
      </c>
      <c r="E254" s="516"/>
      <c r="F254" s="112">
        <f>SUM(F250:F253)</f>
        <v>193.42</v>
      </c>
    </row>
    <row r="255" spans="1:6">
      <c r="A255" s="124"/>
      <c r="B255" s="124"/>
      <c r="C255" s="124"/>
      <c r="D255" s="124"/>
      <c r="E255" s="125"/>
      <c r="F255" s="124"/>
    </row>
    <row r="256" spans="1:6" ht="24">
      <c r="A256" s="101" t="s">
        <v>418</v>
      </c>
      <c r="B256" s="513" t="s">
        <v>750</v>
      </c>
      <c r="C256" s="514"/>
      <c r="D256" s="515"/>
      <c r="E256" s="102" t="s">
        <v>641</v>
      </c>
      <c r="F256" s="102" t="s">
        <v>621</v>
      </c>
    </row>
    <row r="257" spans="1:8">
      <c r="A257" s="103" t="s">
        <v>619</v>
      </c>
      <c r="B257" s="104" t="s">
        <v>620</v>
      </c>
      <c r="C257" s="104" t="s">
        <v>621</v>
      </c>
      <c r="D257" s="104" t="s">
        <v>9</v>
      </c>
      <c r="E257" s="104" t="s">
        <v>10</v>
      </c>
      <c r="F257" s="104" t="s">
        <v>11</v>
      </c>
    </row>
    <row r="258" spans="1:8" ht="24">
      <c r="A258" s="106">
        <v>88267</v>
      </c>
      <c r="B258" s="105" t="s">
        <v>751</v>
      </c>
      <c r="C258" s="105" t="s">
        <v>629</v>
      </c>
      <c r="D258" s="107">
        <v>0.6</v>
      </c>
      <c r="E258" s="108">
        <v>21.2</v>
      </c>
      <c r="F258" s="109">
        <f>ROUND(D258*E258,2)</f>
        <v>12.72</v>
      </c>
    </row>
    <row r="259" spans="1:8">
      <c r="A259" s="106">
        <v>88316</v>
      </c>
      <c r="B259" s="105" t="s">
        <v>632</v>
      </c>
      <c r="C259" s="105" t="s">
        <v>629</v>
      </c>
      <c r="D259" s="107">
        <v>0.6</v>
      </c>
      <c r="E259" s="108">
        <v>14.55</v>
      </c>
      <c r="F259" s="109">
        <f>ROUND(D259*E259,2)</f>
        <v>8.73</v>
      </c>
    </row>
    <row r="260" spans="1:8">
      <c r="A260" s="124"/>
      <c r="B260" s="124"/>
      <c r="C260" s="124"/>
      <c r="D260" s="516" t="s">
        <v>366</v>
      </c>
      <c r="E260" s="516"/>
      <c r="F260" s="112">
        <f>SUM(F258:F259)</f>
        <v>21.45</v>
      </c>
    </row>
    <row r="261" spans="1:8">
      <c r="A261" s="124"/>
      <c r="B261" s="124"/>
      <c r="C261" s="124"/>
      <c r="D261" s="124"/>
      <c r="E261" s="125"/>
      <c r="F261" s="124"/>
    </row>
    <row r="262" spans="1:8" ht="24">
      <c r="A262" s="101" t="s">
        <v>419</v>
      </c>
      <c r="B262" s="513" t="s">
        <v>752</v>
      </c>
      <c r="C262" s="514"/>
      <c r="D262" s="515"/>
      <c r="E262" s="102" t="s">
        <v>641</v>
      </c>
      <c r="F262" s="102" t="s">
        <v>621</v>
      </c>
    </row>
    <row r="263" spans="1:8">
      <c r="A263" s="103" t="s">
        <v>619</v>
      </c>
      <c r="B263" s="104" t="s">
        <v>620</v>
      </c>
      <c r="C263" s="104" t="s">
        <v>621</v>
      </c>
      <c r="D263" s="104" t="s">
        <v>9</v>
      </c>
      <c r="E263" s="104" t="s">
        <v>10</v>
      </c>
      <c r="F263" s="104" t="s">
        <v>11</v>
      </c>
    </row>
    <row r="264" spans="1:8">
      <c r="A264" s="106">
        <v>88264</v>
      </c>
      <c r="B264" s="105" t="s">
        <v>633</v>
      </c>
      <c r="C264" s="105" t="s">
        <v>629</v>
      </c>
      <c r="D264" s="107">
        <v>0.6</v>
      </c>
      <c r="E264" s="108">
        <v>21.45</v>
      </c>
      <c r="F264" s="109">
        <f>ROUND(D264*E264,2)</f>
        <v>12.87</v>
      </c>
    </row>
    <row r="265" spans="1:8">
      <c r="A265" s="106">
        <v>88316</v>
      </c>
      <c r="B265" s="105" t="s">
        <v>632</v>
      </c>
      <c r="C265" s="105" t="s">
        <v>629</v>
      </c>
      <c r="D265" s="107">
        <v>0.6</v>
      </c>
      <c r="E265" s="108">
        <v>14.55</v>
      </c>
      <c r="F265" s="109">
        <f>ROUND(D265*E265,2)</f>
        <v>8.73</v>
      </c>
    </row>
    <row r="266" spans="1:8">
      <c r="A266" s="124"/>
      <c r="B266" s="124"/>
      <c r="C266" s="124"/>
      <c r="D266" s="516" t="s">
        <v>366</v>
      </c>
      <c r="E266" s="516"/>
      <c r="F266" s="112">
        <f>SUM(F264:F265)</f>
        <v>21.6</v>
      </c>
    </row>
    <row r="267" spans="1:8">
      <c r="A267" s="124"/>
      <c r="B267" s="124"/>
      <c r="C267" s="124"/>
      <c r="E267" s="120"/>
    </row>
    <row r="268" spans="1:8" ht="24">
      <c r="A268" s="101" t="s">
        <v>414</v>
      </c>
      <c r="B268" s="513" t="s">
        <v>753</v>
      </c>
      <c r="C268" s="514"/>
      <c r="D268" s="515"/>
      <c r="E268" s="102" t="s">
        <v>641</v>
      </c>
      <c r="F268" s="102" t="s">
        <v>505</v>
      </c>
    </row>
    <row r="269" spans="1:8">
      <c r="A269" s="103" t="s">
        <v>619</v>
      </c>
      <c r="B269" s="104" t="s">
        <v>620</v>
      </c>
      <c r="C269" s="104" t="s">
        <v>621</v>
      </c>
      <c r="D269" s="104" t="s">
        <v>9</v>
      </c>
      <c r="E269" s="104" t="s">
        <v>10</v>
      </c>
      <c r="F269" s="104" t="s">
        <v>11</v>
      </c>
    </row>
    <row r="270" spans="1:8">
      <c r="A270" s="106">
        <v>88309</v>
      </c>
      <c r="B270" s="105" t="s">
        <v>754</v>
      </c>
      <c r="C270" s="106" t="s">
        <v>629</v>
      </c>
      <c r="D270" s="107">
        <v>0.37</v>
      </c>
      <c r="E270" s="146">
        <v>21.24</v>
      </c>
      <c r="F270" s="147">
        <f>ROUND(D270*E270,2)</f>
        <v>7.86</v>
      </c>
    </row>
    <row r="271" spans="1:8" ht="24">
      <c r="A271" s="106">
        <v>370</v>
      </c>
      <c r="B271" s="105" t="s">
        <v>755</v>
      </c>
      <c r="C271" s="106" t="s">
        <v>505</v>
      </c>
      <c r="D271" s="107">
        <v>0.85899999999999999</v>
      </c>
      <c r="E271" s="146">
        <v>30</v>
      </c>
      <c r="F271" s="147">
        <f t="shared" ref="F271:F273" si="20">ROUND(D271*E271,2)</f>
        <v>25.77</v>
      </c>
    </row>
    <row r="272" spans="1:8">
      <c r="A272" s="106">
        <v>1380</v>
      </c>
      <c r="B272" s="105" t="s">
        <v>756</v>
      </c>
      <c r="C272" s="106" t="s">
        <v>757</v>
      </c>
      <c r="D272" s="107">
        <v>212.21</v>
      </c>
      <c r="E272" s="146">
        <v>4.3600000000000003</v>
      </c>
      <c r="F272" s="147">
        <f t="shared" si="20"/>
        <v>925.24</v>
      </c>
      <c r="G272" s="148"/>
      <c r="H272" s="149"/>
    </row>
    <row r="273" spans="1:8">
      <c r="A273" s="106">
        <v>88316</v>
      </c>
      <c r="B273" s="105" t="s">
        <v>632</v>
      </c>
      <c r="C273" s="106" t="s">
        <v>629</v>
      </c>
      <c r="D273" s="107">
        <v>2.4500000000000002</v>
      </c>
      <c r="E273" s="146">
        <v>14.55</v>
      </c>
      <c r="F273" s="147">
        <f t="shared" si="20"/>
        <v>35.65</v>
      </c>
      <c r="G273" s="149"/>
      <c r="H273" s="149"/>
    </row>
    <row r="274" spans="1:8">
      <c r="A274" s="124"/>
      <c r="B274" s="124"/>
      <c r="C274" s="124"/>
      <c r="D274" s="516" t="s">
        <v>366</v>
      </c>
      <c r="E274" s="516"/>
      <c r="F274" s="112">
        <f>SUM(F270:F273)</f>
        <v>994.52</v>
      </c>
    </row>
    <row r="275" spans="1:8">
      <c r="A275" s="124"/>
      <c r="B275" s="124"/>
      <c r="C275" s="124"/>
      <c r="E275" s="120"/>
    </row>
    <row r="276" spans="1:8">
      <c r="A276" s="124"/>
      <c r="B276" s="124"/>
      <c r="C276" s="124"/>
      <c r="D276" s="124"/>
      <c r="E276" s="125"/>
      <c r="F276" s="124"/>
    </row>
    <row r="277" spans="1:8" ht="24">
      <c r="A277" s="101" t="s">
        <v>393</v>
      </c>
      <c r="B277" s="513" t="s">
        <v>758</v>
      </c>
      <c r="C277" s="514"/>
      <c r="D277" s="515"/>
      <c r="E277" s="102" t="s">
        <v>617</v>
      </c>
      <c r="F277" s="102" t="s">
        <v>618</v>
      </c>
    </row>
    <row r="278" spans="1:8">
      <c r="A278" s="103" t="s">
        <v>619</v>
      </c>
      <c r="B278" s="104" t="s">
        <v>620</v>
      </c>
      <c r="C278" s="104" t="s">
        <v>621</v>
      </c>
      <c r="D278" s="104" t="s">
        <v>9</v>
      </c>
      <c r="E278" s="104" t="s">
        <v>10</v>
      </c>
      <c r="F278" s="104" t="s">
        <v>11</v>
      </c>
    </row>
    <row r="279" spans="1:8">
      <c r="A279" s="105">
        <v>72843</v>
      </c>
      <c r="B279" s="105" t="s">
        <v>759</v>
      </c>
      <c r="C279" s="106" t="s">
        <v>614</v>
      </c>
      <c r="D279" s="150">
        <f>'PB VI - MEMÓRIA DE CÁLCULO'!G302</f>
        <v>1120.136</v>
      </c>
      <c r="E279" s="108">
        <v>0.61</v>
      </c>
      <c r="F279" s="109">
        <f>ROUND(D279*E279,2)</f>
        <v>683.28</v>
      </c>
    </row>
    <row r="280" spans="1:8">
      <c r="A280" s="121"/>
      <c r="B280" s="122"/>
      <c r="C280" s="123"/>
      <c r="D280" s="519" t="s">
        <v>366</v>
      </c>
      <c r="E280" s="519"/>
      <c r="F280" s="151">
        <f>SUM(F279:F279)</f>
        <v>683.28</v>
      </c>
    </row>
    <row r="281" spans="1:8">
      <c r="A281" s="520" t="s">
        <v>760</v>
      </c>
      <c r="B281" s="521"/>
      <c r="C281" s="521"/>
      <c r="D281" s="521"/>
      <c r="E281" s="521"/>
      <c r="F281" s="522"/>
    </row>
    <row r="282" spans="1:8" ht="24.75" customHeight="1">
      <c r="A282" s="124"/>
      <c r="B282" s="124"/>
      <c r="C282" s="124"/>
      <c r="D282" s="124"/>
      <c r="E282" s="125"/>
      <c r="F282" s="124"/>
    </row>
    <row r="283" spans="1:8" ht="24">
      <c r="A283" s="101" t="s">
        <v>381</v>
      </c>
      <c r="B283" s="513" t="s">
        <v>761</v>
      </c>
      <c r="C283" s="514"/>
      <c r="D283" s="515"/>
      <c r="E283" s="102" t="s">
        <v>617</v>
      </c>
      <c r="F283" s="102" t="s">
        <v>618</v>
      </c>
    </row>
    <row r="284" spans="1:8">
      <c r="A284" s="103" t="s">
        <v>619</v>
      </c>
      <c r="B284" s="104" t="s">
        <v>620</v>
      </c>
      <c r="C284" s="104" t="s">
        <v>621</v>
      </c>
      <c r="D284" s="104" t="s">
        <v>9</v>
      </c>
      <c r="E284" s="104" t="s">
        <v>10</v>
      </c>
      <c r="F284" s="104" t="s">
        <v>11</v>
      </c>
    </row>
    <row r="285" spans="1:8" ht="24">
      <c r="A285" s="152">
        <v>90777</v>
      </c>
      <c r="B285" s="153" t="s">
        <v>762</v>
      </c>
      <c r="C285" s="106" t="s">
        <v>623</v>
      </c>
      <c r="D285" s="154">
        <f>1*4*4*3</f>
        <v>48</v>
      </c>
      <c r="E285" s="155">
        <v>79.78</v>
      </c>
      <c r="F285" s="109">
        <f>ROUND(D285*E285,2)</f>
        <v>3829.44</v>
      </c>
    </row>
    <row r="286" spans="1:8">
      <c r="A286" s="152">
        <v>94295</v>
      </c>
      <c r="B286" s="153" t="s">
        <v>763</v>
      </c>
      <c r="C286" s="106" t="s">
        <v>764</v>
      </c>
      <c r="D286" s="154">
        <v>3</v>
      </c>
      <c r="E286" s="155">
        <v>6822.34</v>
      </c>
      <c r="F286" s="109">
        <f>ROUND(D286*E286,2)</f>
        <v>20467.02</v>
      </c>
    </row>
    <row r="287" spans="1:8">
      <c r="A287" s="156">
        <v>88326</v>
      </c>
      <c r="B287" s="153" t="s">
        <v>765</v>
      </c>
      <c r="C287" s="106" t="s">
        <v>764</v>
      </c>
      <c r="D287" s="154">
        <v>3</v>
      </c>
      <c r="E287" s="155">
        <f>(19.44/2.166)*1.7177*220</f>
        <v>3391.6248199445999</v>
      </c>
      <c r="F287" s="109">
        <f>ROUND(D287*E287,2)</f>
        <v>10174.870000000001</v>
      </c>
    </row>
    <row r="288" spans="1:8">
      <c r="A288" s="121"/>
      <c r="B288" s="122"/>
      <c r="C288" s="123"/>
      <c r="D288" s="516" t="s">
        <v>366</v>
      </c>
      <c r="E288" s="516"/>
      <c r="F288" s="112">
        <f>SUM(F285:F287)</f>
        <v>34471.33</v>
      </c>
    </row>
    <row r="289" spans="1:6">
      <c r="A289" s="124"/>
      <c r="B289" s="124"/>
      <c r="C289" s="124"/>
      <c r="D289" s="124"/>
      <c r="E289" s="124"/>
      <c r="F289" s="124"/>
    </row>
    <row r="290" spans="1:6">
      <c r="A290" s="523"/>
      <c r="B290" s="523"/>
      <c r="C290" s="523"/>
      <c r="D290" s="523"/>
      <c r="E290" s="523"/>
      <c r="F290" s="523"/>
    </row>
    <row r="291" spans="1:6">
      <c r="A291" s="524"/>
      <c r="B291" s="524"/>
      <c r="C291" s="524"/>
      <c r="D291" s="524"/>
      <c r="E291" s="524"/>
      <c r="F291" s="524"/>
    </row>
    <row r="294" spans="1:6">
      <c r="A294" s="41"/>
      <c r="B294" s="41"/>
      <c r="C294" s="41"/>
      <c r="D294" s="41"/>
      <c r="E294" s="41"/>
      <c r="F294" s="41"/>
    </row>
    <row r="295" spans="1:6">
      <c r="A295" s="41"/>
      <c r="B295" s="41"/>
      <c r="C295" s="41"/>
      <c r="D295" s="41"/>
      <c r="E295" s="41"/>
      <c r="F295" s="41"/>
    </row>
  </sheetData>
  <mergeCells count="80">
    <mergeCell ref="A281:F281"/>
    <mergeCell ref="B283:D283"/>
    <mergeCell ref="D288:E288"/>
    <mergeCell ref="A290:F290"/>
    <mergeCell ref="A291:F291"/>
    <mergeCell ref="D266:E266"/>
    <mergeCell ref="B268:D268"/>
    <mergeCell ref="D274:E274"/>
    <mergeCell ref="B277:D277"/>
    <mergeCell ref="D280:E280"/>
    <mergeCell ref="B248:D248"/>
    <mergeCell ref="D254:E254"/>
    <mergeCell ref="B256:D256"/>
    <mergeCell ref="D260:E260"/>
    <mergeCell ref="B262:D262"/>
    <mergeCell ref="D232:E232"/>
    <mergeCell ref="B234:D234"/>
    <mergeCell ref="D239:E239"/>
    <mergeCell ref="B241:D241"/>
    <mergeCell ref="D246:E246"/>
    <mergeCell ref="B203:D203"/>
    <mergeCell ref="D212:E212"/>
    <mergeCell ref="B215:D215"/>
    <mergeCell ref="D224:E224"/>
    <mergeCell ref="B226:D226"/>
    <mergeCell ref="D187:E187"/>
    <mergeCell ref="B189:D189"/>
    <mergeCell ref="D193:E193"/>
    <mergeCell ref="B195:D195"/>
    <mergeCell ref="D201:E201"/>
    <mergeCell ref="B159:D159"/>
    <mergeCell ref="D175:E175"/>
    <mergeCell ref="B177:D177"/>
    <mergeCell ref="D181:E181"/>
    <mergeCell ref="B183:D183"/>
    <mergeCell ref="D140:E140"/>
    <mergeCell ref="B142:D142"/>
    <mergeCell ref="D148:E148"/>
    <mergeCell ref="B150:D150"/>
    <mergeCell ref="D157:E157"/>
    <mergeCell ref="B119:D119"/>
    <mergeCell ref="D125:E125"/>
    <mergeCell ref="B127:D127"/>
    <mergeCell ref="D131:E131"/>
    <mergeCell ref="B134:D134"/>
    <mergeCell ref="D103:E103"/>
    <mergeCell ref="B105:D105"/>
    <mergeCell ref="D110:E110"/>
    <mergeCell ref="B112:D112"/>
    <mergeCell ref="D117:E117"/>
    <mergeCell ref="B82:D82"/>
    <mergeCell ref="D88:E88"/>
    <mergeCell ref="B90:D90"/>
    <mergeCell ref="D96:E96"/>
    <mergeCell ref="B98:D98"/>
    <mergeCell ref="D51:E51"/>
    <mergeCell ref="B53:D53"/>
    <mergeCell ref="D67:E67"/>
    <mergeCell ref="B69:D69"/>
    <mergeCell ref="D80:E80"/>
    <mergeCell ref="B34:D34"/>
    <mergeCell ref="D37:E37"/>
    <mergeCell ref="B39:D39"/>
    <mergeCell ref="D46:E46"/>
    <mergeCell ref="B48:D48"/>
    <mergeCell ref="D19:E19"/>
    <mergeCell ref="B21:D21"/>
    <mergeCell ref="D26:E26"/>
    <mergeCell ref="B28:D28"/>
    <mergeCell ref="D32:E32"/>
    <mergeCell ref="A6:F6"/>
    <mergeCell ref="A7:F7"/>
    <mergeCell ref="B8:D8"/>
    <mergeCell ref="D13:E13"/>
    <mergeCell ref="B15:D15"/>
    <mergeCell ref="A1:F1"/>
    <mergeCell ref="A2:F2"/>
    <mergeCell ref="A3:F3"/>
    <mergeCell ref="A4:F4"/>
    <mergeCell ref="A5:F5"/>
  </mergeCells>
  <printOptions horizontalCentered="1"/>
  <pageMargins left="0.39305555555555599" right="0" top="1.37777777777778" bottom="0.39305555555555599" header="0" footer="0"/>
  <pageSetup paperSize="9" scale="84" orientation="portrait" r:id="rId1"/>
  <headerFooter>
    <oddHeader>&amp;C&amp;10
&amp;G
DEFENSORIA PÚBLICA DO ESTADO DE RORAIMA
“Amazônia: Patrimônio dos brasileiros”
____________________________________________________________________________________________________</oddHeader>
    <oddFooter>&amp;C&amp;"Arial,Normal"&amp;9Página &amp;P de &amp;N</oddFooter>
  </headerFooter>
  <rowBreaks count="3" manualBreakCount="3">
    <brk id="38" max="5" man="1"/>
    <brk id="80" max="5" man="1"/>
    <brk id="260" max="5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9"/>
  <sheetViews>
    <sheetView view="pageBreakPreview" topLeftCell="A70" zoomScale="70" zoomScaleSheetLayoutView="70" workbookViewId="0">
      <selection activeCell="B79" sqref="B79"/>
    </sheetView>
  </sheetViews>
  <sheetFormatPr defaultColWidth="9" defaultRowHeight="15"/>
  <cols>
    <col min="1" max="1" width="31.140625" customWidth="1"/>
    <col min="2" max="2" width="27.140625" customWidth="1"/>
    <col min="3" max="3" width="28.42578125" customWidth="1"/>
    <col min="4" max="5" width="27" customWidth="1"/>
    <col min="6" max="6" width="18.85546875" customWidth="1"/>
  </cols>
  <sheetData>
    <row r="1" spans="1:6" ht="15.75">
      <c r="A1" s="525" t="s">
        <v>766</v>
      </c>
      <c r="B1" s="526"/>
      <c r="C1" s="526"/>
      <c r="D1" s="526"/>
      <c r="E1" s="526"/>
      <c r="F1" s="526"/>
    </row>
    <row r="2" spans="1:6" ht="15.75">
      <c r="A2" s="42"/>
      <c r="B2" s="42"/>
      <c r="C2" s="43"/>
      <c r="D2" s="42"/>
      <c r="E2" s="42"/>
      <c r="F2" s="44"/>
    </row>
    <row r="3" spans="1:6" ht="15.75">
      <c r="A3" s="527" t="str">
        <f>'PB III - Planilha Orçamentaria'!A4:G4</f>
        <v>OBRA: REFORMA DA SEDE DA DEFENSORIA PÚBLICA DO ESTADO DE RORAIMA NO MUNICIPIO DE SÃO LUIZ DO ANAUA - DPE/RR</v>
      </c>
      <c r="B3" s="528"/>
      <c r="C3" s="528"/>
      <c r="D3" s="528"/>
      <c r="E3" s="528"/>
      <c r="F3" s="528"/>
    </row>
    <row r="4" spans="1:6" ht="15.75">
      <c r="A4" s="45"/>
      <c r="B4" s="45"/>
      <c r="C4" s="45"/>
      <c r="D4" s="45"/>
      <c r="E4" s="45"/>
      <c r="F4" s="45"/>
    </row>
    <row r="5" spans="1:6" ht="15.75">
      <c r="A5" s="529" t="s">
        <v>767</v>
      </c>
      <c r="B5" s="530"/>
      <c r="C5" s="530"/>
      <c r="D5" s="530"/>
      <c r="E5" s="530"/>
      <c r="F5" s="531"/>
    </row>
    <row r="6" spans="1:6" ht="15.75">
      <c r="A6" s="46" t="s">
        <v>768</v>
      </c>
      <c r="B6" s="47" t="s">
        <v>769</v>
      </c>
      <c r="C6" s="47" t="s">
        <v>770</v>
      </c>
      <c r="D6" s="47" t="s">
        <v>771</v>
      </c>
      <c r="E6" s="48"/>
      <c r="F6" s="49"/>
    </row>
    <row r="7" spans="1:6" ht="110.25">
      <c r="A7" s="50" t="s">
        <v>618</v>
      </c>
      <c r="B7" s="51" t="s">
        <v>772</v>
      </c>
      <c r="C7" s="51" t="s">
        <v>773</v>
      </c>
      <c r="D7" s="51" t="s">
        <v>774</v>
      </c>
      <c r="E7" s="52"/>
      <c r="F7" s="53" t="s">
        <v>775</v>
      </c>
    </row>
    <row r="8" spans="1:6" ht="47.25">
      <c r="A8" s="54" t="s">
        <v>776</v>
      </c>
      <c r="B8" s="55">
        <v>148.99</v>
      </c>
      <c r="C8" s="56">
        <v>85</v>
      </c>
      <c r="D8" s="57">
        <v>121.07</v>
      </c>
      <c r="E8" s="52"/>
      <c r="F8" s="58">
        <f>ROUND(MEDIAN(B8:E8),2)</f>
        <v>121.07</v>
      </c>
    </row>
    <row r="9" spans="1:6" ht="15.75">
      <c r="A9" s="59"/>
      <c r="B9" s="60"/>
      <c r="C9" s="61"/>
      <c r="D9" s="62"/>
      <c r="E9" s="63"/>
      <c r="F9" s="63"/>
    </row>
    <row r="10" spans="1:6" ht="15.75">
      <c r="A10" s="46" t="s">
        <v>777</v>
      </c>
      <c r="B10" s="47" t="s">
        <v>769</v>
      </c>
      <c r="C10" s="47" t="s">
        <v>770</v>
      </c>
      <c r="D10" s="47" t="s">
        <v>771</v>
      </c>
      <c r="E10" s="47" t="s">
        <v>778</v>
      </c>
      <c r="F10" s="49"/>
    </row>
    <row r="11" spans="1:6" ht="110.25">
      <c r="A11" s="64" t="s">
        <v>618</v>
      </c>
      <c r="B11" s="51" t="s">
        <v>779</v>
      </c>
      <c r="C11" s="51" t="s">
        <v>780</v>
      </c>
      <c r="D11" s="65" t="s">
        <v>781</v>
      </c>
      <c r="E11" s="65" t="s">
        <v>772</v>
      </c>
      <c r="F11" s="53" t="s">
        <v>775</v>
      </c>
    </row>
    <row r="12" spans="1:6" ht="31.5">
      <c r="A12" s="54" t="s">
        <v>782</v>
      </c>
      <c r="B12" s="66">
        <v>61.44</v>
      </c>
      <c r="C12" s="67">
        <v>25.59</v>
      </c>
      <c r="D12" s="68">
        <v>26.81</v>
      </c>
      <c r="E12" s="68">
        <v>53.25</v>
      </c>
      <c r="F12" s="58">
        <f>ROUND(MEDIAN(B12:E12),2)</f>
        <v>40.03</v>
      </c>
    </row>
    <row r="13" spans="1:6" ht="15.75">
      <c r="A13" s="59"/>
      <c r="B13" s="60"/>
      <c r="C13" s="61"/>
      <c r="D13" s="62"/>
      <c r="E13" s="63"/>
      <c r="F13" s="63"/>
    </row>
    <row r="14" spans="1:6" ht="15.75">
      <c r="A14" s="46" t="s">
        <v>783</v>
      </c>
      <c r="B14" s="69" t="s">
        <v>769</v>
      </c>
      <c r="C14" s="69" t="s">
        <v>770</v>
      </c>
      <c r="D14" s="69" t="s">
        <v>771</v>
      </c>
      <c r="E14" s="69" t="s">
        <v>778</v>
      </c>
      <c r="F14" s="70"/>
    </row>
    <row r="15" spans="1:6" ht="110.25">
      <c r="A15" s="71" t="s">
        <v>618</v>
      </c>
      <c r="B15" s="51" t="s">
        <v>779</v>
      </c>
      <c r="C15" s="51" t="s">
        <v>784</v>
      </c>
      <c r="D15" s="65" t="s">
        <v>780</v>
      </c>
      <c r="E15" s="65" t="s">
        <v>781</v>
      </c>
      <c r="F15" s="53" t="s">
        <v>775</v>
      </c>
    </row>
    <row r="16" spans="1:6" ht="47.25">
      <c r="A16" s="72" t="s">
        <v>271</v>
      </c>
      <c r="B16" s="55">
        <v>108.77</v>
      </c>
      <c r="C16" s="56">
        <v>85</v>
      </c>
      <c r="D16" s="57">
        <v>96.28</v>
      </c>
      <c r="E16" s="57">
        <v>97.47</v>
      </c>
      <c r="F16" s="58">
        <f>ROUND(MEDIAN(B16:E16),2)</f>
        <v>96.88</v>
      </c>
    </row>
    <row r="17" spans="1:6" ht="15.75">
      <c r="A17" s="73"/>
      <c r="B17" s="59"/>
      <c r="C17" s="74"/>
      <c r="D17" s="62"/>
      <c r="E17" s="63"/>
      <c r="F17" s="63"/>
    </row>
    <row r="18" spans="1:6" ht="15.75">
      <c r="A18" s="75" t="s">
        <v>785</v>
      </c>
      <c r="B18" s="69" t="s">
        <v>769</v>
      </c>
      <c r="C18" s="76"/>
      <c r="D18" s="76"/>
      <c r="E18" s="76"/>
      <c r="F18" s="77"/>
    </row>
    <row r="19" spans="1:6" ht="110.25">
      <c r="A19" s="71" t="s">
        <v>618</v>
      </c>
      <c r="B19" s="51" t="s">
        <v>784</v>
      </c>
      <c r="C19" s="51" t="s">
        <v>786</v>
      </c>
      <c r="D19" s="65"/>
      <c r="E19" s="65"/>
      <c r="F19" s="53" t="s">
        <v>775</v>
      </c>
    </row>
    <row r="20" spans="1:6" ht="31.5">
      <c r="A20" s="72" t="s">
        <v>787</v>
      </c>
      <c r="B20" s="78">
        <v>350</v>
      </c>
      <c r="C20" s="56">
        <v>300</v>
      </c>
      <c r="D20" s="65"/>
      <c r="E20" s="65"/>
      <c r="F20" s="58">
        <f>ROUND(MEDIAN(B20:E20),2)</f>
        <v>325</v>
      </c>
    </row>
    <row r="21" spans="1:6" ht="15.75">
      <c r="A21" s="73"/>
      <c r="B21" s="59"/>
      <c r="C21" s="74"/>
      <c r="D21" s="62"/>
      <c r="E21" s="63"/>
      <c r="F21" s="63"/>
    </row>
    <row r="22" spans="1:6" ht="15.75">
      <c r="A22" s="46" t="s">
        <v>788</v>
      </c>
      <c r="B22" s="69" t="s">
        <v>769</v>
      </c>
      <c r="C22" s="69" t="s">
        <v>770</v>
      </c>
      <c r="D22" s="69" t="s">
        <v>771</v>
      </c>
      <c r="E22" s="69" t="s">
        <v>778</v>
      </c>
      <c r="F22" s="77"/>
    </row>
    <row r="23" spans="1:6" ht="110.25">
      <c r="A23" s="71" t="s">
        <v>618</v>
      </c>
      <c r="B23" s="51" t="s">
        <v>780</v>
      </c>
      <c r="C23" s="65" t="s">
        <v>781</v>
      </c>
      <c r="D23" s="65" t="s">
        <v>772</v>
      </c>
      <c r="E23" s="65" t="s">
        <v>773</v>
      </c>
      <c r="F23" s="53" t="s">
        <v>775</v>
      </c>
    </row>
    <row r="24" spans="1:6" ht="47.25">
      <c r="A24" s="72" t="s">
        <v>719</v>
      </c>
      <c r="B24" s="56">
        <v>96.37</v>
      </c>
      <c r="C24" s="57">
        <v>84.79</v>
      </c>
      <c r="D24" s="57">
        <v>81.19</v>
      </c>
      <c r="E24" s="79">
        <v>98</v>
      </c>
      <c r="F24" s="58">
        <f>ROUND(MEDIAN(B24:E24),2)</f>
        <v>90.58</v>
      </c>
    </row>
    <row r="25" spans="1:6" ht="15.75">
      <c r="A25" s="80"/>
      <c r="B25" s="81"/>
      <c r="C25" s="81"/>
      <c r="D25" s="81"/>
      <c r="E25" s="81"/>
      <c r="F25" s="81"/>
    </row>
    <row r="26" spans="1:6" ht="15.75">
      <c r="A26" s="80"/>
      <c r="B26" s="81"/>
      <c r="C26" s="81"/>
      <c r="D26" s="81"/>
      <c r="E26" s="81"/>
      <c r="F26" s="63"/>
    </row>
    <row r="27" spans="1:6" ht="15.75">
      <c r="A27" s="532" t="s">
        <v>789</v>
      </c>
      <c r="B27" s="532"/>
      <c r="C27" s="532"/>
      <c r="D27" s="532"/>
      <c r="E27" s="532"/>
      <c r="F27" s="532"/>
    </row>
    <row r="28" spans="1:6" ht="15.75">
      <c r="A28" s="73"/>
      <c r="B28" s="59"/>
      <c r="C28" s="74"/>
      <c r="D28" s="62"/>
      <c r="E28" s="63"/>
      <c r="F28" s="63"/>
    </row>
    <row r="29" spans="1:6" ht="15.75">
      <c r="A29" s="46" t="s">
        <v>790</v>
      </c>
      <c r="B29" s="69" t="s">
        <v>769</v>
      </c>
      <c r="C29" s="69" t="s">
        <v>770</v>
      </c>
      <c r="D29" s="69" t="s">
        <v>771</v>
      </c>
      <c r="E29" s="76"/>
      <c r="F29" s="77"/>
    </row>
    <row r="30" spans="1:6" ht="176.1" customHeight="1">
      <c r="A30" s="71" t="s">
        <v>618</v>
      </c>
      <c r="B30" s="51" t="s">
        <v>781</v>
      </c>
      <c r="C30" s="51" t="s">
        <v>791</v>
      </c>
      <c r="D30" s="65" t="s">
        <v>792</v>
      </c>
      <c r="E30" s="65" t="s">
        <v>793</v>
      </c>
      <c r="F30" s="53" t="s">
        <v>775</v>
      </c>
    </row>
    <row r="31" spans="1:6" ht="47.25">
      <c r="A31" s="72" t="s">
        <v>794</v>
      </c>
      <c r="B31" s="66">
        <v>1.1100000000000001</v>
      </c>
      <c r="C31" s="67">
        <v>0.42</v>
      </c>
      <c r="D31" s="68">
        <v>0.51</v>
      </c>
      <c r="E31" s="65">
        <v>0.7</v>
      </c>
      <c r="F31" s="58">
        <v>0.61</v>
      </c>
    </row>
    <row r="32" spans="1:6" ht="15.75">
      <c r="A32" s="80"/>
      <c r="B32" s="81"/>
      <c r="C32" s="81"/>
      <c r="D32" s="81"/>
      <c r="E32" s="81"/>
      <c r="F32" s="81"/>
    </row>
    <row r="33" spans="1:6" ht="15.75">
      <c r="A33" s="46" t="s">
        <v>795</v>
      </c>
      <c r="B33" s="69" t="s">
        <v>769</v>
      </c>
      <c r="C33" s="69" t="s">
        <v>770</v>
      </c>
      <c r="D33" s="69" t="s">
        <v>771</v>
      </c>
      <c r="E33" s="76"/>
      <c r="F33" s="77"/>
    </row>
    <row r="34" spans="1:6" ht="157.5">
      <c r="A34" s="71" t="s">
        <v>618</v>
      </c>
      <c r="B34" s="51" t="s">
        <v>773</v>
      </c>
      <c r="C34" s="51" t="s">
        <v>791</v>
      </c>
      <c r="D34" s="65" t="s">
        <v>792</v>
      </c>
      <c r="E34" s="65" t="s">
        <v>793</v>
      </c>
      <c r="F34" s="53" t="s">
        <v>775</v>
      </c>
    </row>
    <row r="35" spans="1:6" ht="31.5">
      <c r="A35" s="72" t="s">
        <v>796</v>
      </c>
      <c r="B35" s="55">
        <v>0.25</v>
      </c>
      <c r="C35" s="79">
        <f>ROUND(8.36/100,2)</f>
        <v>0.08</v>
      </c>
      <c r="D35" s="79">
        <f>ROUND(10.9/100,2)</f>
        <v>0.11</v>
      </c>
      <c r="E35" s="65">
        <v>0.09</v>
      </c>
      <c r="F35" s="58">
        <f>ROUND(MEDIAN(B35:E35),2)</f>
        <v>0.1</v>
      </c>
    </row>
    <row r="36" spans="1:6" ht="15.75">
      <c r="A36" s="80"/>
      <c r="B36" s="81"/>
      <c r="C36" s="81"/>
      <c r="D36" s="81"/>
      <c r="E36" s="81"/>
      <c r="F36" s="81"/>
    </row>
    <row r="37" spans="1:6" ht="15.75">
      <c r="A37" s="46" t="s">
        <v>797</v>
      </c>
      <c r="B37" s="69" t="s">
        <v>769</v>
      </c>
      <c r="C37" s="69" t="s">
        <v>770</v>
      </c>
      <c r="D37" s="69" t="s">
        <v>771</v>
      </c>
      <c r="E37" s="69" t="s">
        <v>778</v>
      </c>
      <c r="F37" s="70"/>
    </row>
    <row r="38" spans="1:6" ht="110.25">
      <c r="A38" s="71" t="s">
        <v>618</v>
      </c>
      <c r="B38" s="51" t="s">
        <v>779</v>
      </c>
      <c r="C38" s="51" t="s">
        <v>784</v>
      </c>
      <c r="D38" s="65" t="s">
        <v>780</v>
      </c>
      <c r="E38" s="65" t="s">
        <v>773</v>
      </c>
      <c r="F38" s="53" t="s">
        <v>775</v>
      </c>
    </row>
    <row r="39" spans="1:6" ht="15.75">
      <c r="A39" s="72" t="s">
        <v>798</v>
      </c>
      <c r="B39" s="82">
        <v>0.21</v>
      </c>
      <c r="C39" s="82">
        <v>0.35</v>
      </c>
      <c r="D39" s="83">
        <v>0.08</v>
      </c>
      <c r="E39" s="83">
        <v>0.1</v>
      </c>
      <c r="F39" s="58">
        <f>ROUND(MEDIAN(B39:E39),2)</f>
        <v>0.16</v>
      </c>
    </row>
    <row r="40" spans="1:6" ht="15.75">
      <c r="A40" s="80"/>
      <c r="B40" s="81"/>
      <c r="C40" s="81"/>
      <c r="D40" s="81"/>
      <c r="E40" s="81"/>
      <c r="F40" s="81"/>
    </row>
    <row r="41" spans="1:6" ht="15.75">
      <c r="A41" s="46" t="s">
        <v>799</v>
      </c>
      <c r="B41" s="69" t="s">
        <v>769</v>
      </c>
      <c r="C41" s="69" t="s">
        <v>770</v>
      </c>
      <c r="D41" s="69" t="s">
        <v>771</v>
      </c>
      <c r="E41" s="69" t="s">
        <v>778</v>
      </c>
      <c r="F41" s="77"/>
    </row>
    <row r="42" spans="1:6" ht="110.25">
      <c r="A42" s="71" t="s">
        <v>618</v>
      </c>
      <c r="B42" s="51" t="s">
        <v>784</v>
      </c>
      <c r="C42" s="51" t="s">
        <v>781</v>
      </c>
      <c r="D42" s="65" t="s">
        <v>773</v>
      </c>
      <c r="E42" s="65" t="s">
        <v>791</v>
      </c>
      <c r="F42" s="53" t="s">
        <v>775</v>
      </c>
    </row>
    <row r="43" spans="1:6" ht="15.75">
      <c r="A43" s="72" t="s">
        <v>800</v>
      </c>
      <c r="B43" s="78">
        <v>0.2</v>
      </c>
      <c r="C43" s="78">
        <v>7.0000000000000007E-2</v>
      </c>
      <c r="D43" s="79">
        <v>0.1</v>
      </c>
      <c r="E43" s="79">
        <f>ROUND(3.57/100,2)</f>
        <v>0.04</v>
      </c>
      <c r="F43" s="58">
        <f>ROUND(MEDIAN(B43:E43),2)</f>
        <v>0.09</v>
      </c>
    </row>
    <row r="44" spans="1:6" ht="15.75">
      <c r="A44" s="80"/>
      <c r="B44" s="81"/>
      <c r="C44" s="81"/>
      <c r="D44" s="81"/>
      <c r="E44" s="81"/>
      <c r="F44" s="81"/>
    </row>
    <row r="45" spans="1:6" ht="15.75">
      <c r="A45" s="80"/>
      <c r="B45" s="63"/>
      <c r="C45" s="84"/>
      <c r="D45" s="81"/>
      <c r="E45" s="81"/>
      <c r="F45" s="81"/>
    </row>
    <row r="46" spans="1:6" ht="15.75">
      <c r="A46" s="46" t="s">
        <v>801</v>
      </c>
      <c r="B46" s="69" t="s">
        <v>769</v>
      </c>
      <c r="C46" s="69" t="s">
        <v>770</v>
      </c>
      <c r="D46" s="69" t="s">
        <v>771</v>
      </c>
      <c r="E46" s="69" t="s">
        <v>778</v>
      </c>
      <c r="F46" s="77"/>
    </row>
    <row r="47" spans="1:6" ht="157.5">
      <c r="A47" s="71" t="s">
        <v>618</v>
      </c>
      <c r="B47" s="51" t="s">
        <v>791</v>
      </c>
      <c r="C47" s="51" t="s">
        <v>802</v>
      </c>
      <c r="D47" s="65" t="s">
        <v>773</v>
      </c>
      <c r="E47" s="65" t="s">
        <v>793</v>
      </c>
      <c r="F47" s="53" t="s">
        <v>775</v>
      </c>
    </row>
    <row r="48" spans="1:6" ht="31.5">
      <c r="A48" s="72" t="s">
        <v>803</v>
      </c>
      <c r="B48" s="55">
        <v>13.16</v>
      </c>
      <c r="C48" s="56">
        <v>26.77</v>
      </c>
      <c r="D48" s="85">
        <v>26</v>
      </c>
      <c r="E48" s="65">
        <v>5.13</v>
      </c>
      <c r="F48" s="58">
        <f>ROUND(MEDIAN(B48:E48),2)</f>
        <v>19.579999999999998</v>
      </c>
    </row>
    <row r="49" spans="1:6" ht="15.75">
      <c r="A49" s="86"/>
      <c r="B49" s="87"/>
      <c r="C49" s="88"/>
      <c r="D49" s="81"/>
      <c r="E49" s="81"/>
      <c r="F49" s="81"/>
    </row>
    <row r="50" spans="1:6" ht="15.75">
      <c r="A50" s="80"/>
      <c r="B50" s="63"/>
      <c r="C50" s="84"/>
      <c r="D50" s="81"/>
      <c r="E50" s="81"/>
      <c r="F50" s="81"/>
    </row>
    <row r="51" spans="1:6" ht="15.75">
      <c r="A51" s="46" t="s">
        <v>804</v>
      </c>
      <c r="B51" s="69" t="s">
        <v>769</v>
      </c>
      <c r="C51" s="69" t="s">
        <v>770</v>
      </c>
      <c r="D51" s="69" t="s">
        <v>771</v>
      </c>
      <c r="E51" s="69" t="s">
        <v>778</v>
      </c>
      <c r="F51" s="77"/>
    </row>
    <row r="52" spans="1:6" ht="126">
      <c r="A52" s="71" t="s">
        <v>618</v>
      </c>
      <c r="B52" s="51" t="s">
        <v>791</v>
      </c>
      <c r="C52" s="51" t="s">
        <v>802</v>
      </c>
      <c r="D52" s="65" t="s">
        <v>781</v>
      </c>
      <c r="E52" s="65" t="s">
        <v>773</v>
      </c>
      <c r="F52" s="53" t="s">
        <v>775</v>
      </c>
    </row>
    <row r="53" spans="1:6" ht="31.5">
      <c r="A53" s="72" t="s">
        <v>805</v>
      </c>
      <c r="B53" s="78">
        <v>7.46</v>
      </c>
      <c r="C53" s="78">
        <v>10.47</v>
      </c>
      <c r="D53" s="79">
        <v>13.86</v>
      </c>
      <c r="E53" s="79">
        <v>15</v>
      </c>
      <c r="F53" s="58">
        <f>ROUND(MEDIAN(B53:E53),2)</f>
        <v>12.17</v>
      </c>
    </row>
    <row r="54" spans="1:6" ht="15.75">
      <c r="A54" s="80"/>
      <c r="B54" s="63"/>
      <c r="C54" s="84"/>
      <c r="D54" s="81"/>
      <c r="E54" s="81"/>
      <c r="F54" s="81"/>
    </row>
    <row r="55" spans="1:6" ht="15.75">
      <c r="A55" s="46" t="s">
        <v>806</v>
      </c>
      <c r="B55" s="69" t="s">
        <v>769</v>
      </c>
      <c r="C55" s="69" t="s">
        <v>770</v>
      </c>
      <c r="D55" s="69" t="s">
        <v>771</v>
      </c>
      <c r="E55" s="69" t="s">
        <v>778</v>
      </c>
      <c r="F55" s="77"/>
    </row>
    <row r="56" spans="1:6" ht="191.1" customHeight="1">
      <c r="A56" s="71" t="s">
        <v>618</v>
      </c>
      <c r="B56" s="51" t="s">
        <v>791</v>
      </c>
      <c r="C56" s="51" t="s">
        <v>802</v>
      </c>
      <c r="D56" s="65" t="s">
        <v>781</v>
      </c>
      <c r="E56" s="65" t="s">
        <v>793</v>
      </c>
      <c r="F56" s="53" t="s">
        <v>775</v>
      </c>
    </row>
    <row r="57" spans="1:6" ht="31.5">
      <c r="A57" s="72" t="s">
        <v>807</v>
      </c>
      <c r="B57" s="55">
        <v>3.11</v>
      </c>
      <c r="C57" s="56">
        <v>6.05</v>
      </c>
      <c r="D57" s="57">
        <v>7.89</v>
      </c>
      <c r="E57" s="65">
        <v>5.79</v>
      </c>
      <c r="F57" s="58">
        <f>ROUND(MEDIAN(B57:E57),2)</f>
        <v>5.92</v>
      </c>
    </row>
    <row r="58" spans="1:6" ht="15.75">
      <c r="A58" s="73"/>
      <c r="B58" s="80"/>
      <c r="C58" s="74"/>
      <c r="D58" s="62"/>
      <c r="E58" s="63"/>
      <c r="F58" s="89"/>
    </row>
    <row r="59" spans="1:6" ht="15.75">
      <c r="A59" s="46" t="s">
        <v>808</v>
      </c>
      <c r="B59" s="69" t="s">
        <v>769</v>
      </c>
      <c r="C59" s="69" t="s">
        <v>770</v>
      </c>
      <c r="D59" s="69" t="s">
        <v>771</v>
      </c>
      <c r="E59" s="76"/>
      <c r="F59" s="77"/>
    </row>
    <row r="60" spans="1:6" ht="157.5">
      <c r="A60" s="71" t="s">
        <v>618</v>
      </c>
      <c r="B60" s="51" t="s">
        <v>791</v>
      </c>
      <c r="C60" s="51" t="s">
        <v>802</v>
      </c>
      <c r="D60" s="65" t="s">
        <v>793</v>
      </c>
      <c r="E60" s="65"/>
      <c r="F60" s="53" t="s">
        <v>775</v>
      </c>
    </row>
    <row r="61" spans="1:6" ht="15.75">
      <c r="A61" s="72" t="s">
        <v>809</v>
      </c>
      <c r="B61" s="55">
        <v>1.04</v>
      </c>
      <c r="C61" s="56">
        <v>1.77</v>
      </c>
      <c r="D61" s="65">
        <v>0.67</v>
      </c>
      <c r="E61" s="65"/>
      <c r="F61" s="58">
        <f>ROUND(MEDIAN(B61:E61),2)</f>
        <v>1.04</v>
      </c>
    </row>
    <row r="62" spans="1:6" ht="15.75">
      <c r="A62" s="73"/>
      <c r="B62" s="80"/>
      <c r="C62" s="74"/>
      <c r="D62" s="62"/>
      <c r="E62" s="63"/>
      <c r="F62" s="89"/>
    </row>
    <row r="63" spans="1:6" ht="15.75">
      <c r="A63" s="46" t="s">
        <v>810</v>
      </c>
      <c r="B63" s="69" t="s">
        <v>769</v>
      </c>
      <c r="C63" s="69" t="s">
        <v>770</v>
      </c>
      <c r="D63" s="69" t="s">
        <v>771</v>
      </c>
      <c r="E63" s="76"/>
      <c r="F63" s="77"/>
    </row>
    <row r="64" spans="1:6" ht="157.5">
      <c r="A64" s="71" t="s">
        <v>618</v>
      </c>
      <c r="B64" s="51" t="s">
        <v>791</v>
      </c>
      <c r="C64" s="51" t="s">
        <v>802</v>
      </c>
      <c r="D64" s="65" t="s">
        <v>793</v>
      </c>
      <c r="E64" s="65"/>
      <c r="F64" s="53" t="s">
        <v>775</v>
      </c>
    </row>
    <row r="65" spans="1:6" ht="31.5">
      <c r="A65" s="72" t="s">
        <v>811</v>
      </c>
      <c r="B65" s="55">
        <v>1.02</v>
      </c>
      <c r="C65" s="56">
        <v>1.21</v>
      </c>
      <c r="D65" s="65">
        <v>0.91</v>
      </c>
      <c r="E65" s="65"/>
      <c r="F65" s="58">
        <f>ROUND(MEDIAN(B65:E65),2)</f>
        <v>1.02</v>
      </c>
    </row>
    <row r="66" spans="1:6" ht="15.75">
      <c r="A66" s="90"/>
      <c r="B66" s="60"/>
      <c r="C66" s="91"/>
      <c r="D66" s="43"/>
      <c r="E66" s="43"/>
      <c r="F66" s="92"/>
    </row>
    <row r="67" spans="1:6" ht="15.75">
      <c r="A67" s="46" t="s">
        <v>736</v>
      </c>
      <c r="B67" s="69" t="s">
        <v>769</v>
      </c>
      <c r="C67" s="69" t="s">
        <v>770</v>
      </c>
      <c r="D67" s="69" t="s">
        <v>771</v>
      </c>
      <c r="E67" s="76"/>
      <c r="F67" s="77"/>
    </row>
    <row r="68" spans="1:6" ht="157.5">
      <c r="A68" s="93" t="s">
        <v>618</v>
      </c>
      <c r="B68" s="51" t="s">
        <v>791</v>
      </c>
      <c r="C68" s="51" t="s">
        <v>802</v>
      </c>
      <c r="D68" s="65" t="s">
        <v>793</v>
      </c>
      <c r="E68" s="65"/>
      <c r="F68" s="53" t="s">
        <v>775</v>
      </c>
    </row>
    <row r="69" spans="1:6" ht="31.5">
      <c r="A69" s="94" t="s">
        <v>812</v>
      </c>
      <c r="B69" s="55">
        <v>3.84</v>
      </c>
      <c r="C69" s="56">
        <v>9.1300000000000008</v>
      </c>
      <c r="D69" s="65">
        <v>8.7799999999999994</v>
      </c>
      <c r="E69" s="65"/>
      <c r="F69" s="95">
        <f>ROUND(MEDIAN(B69:E69),2)</f>
        <v>8.7799999999999994</v>
      </c>
    </row>
    <row r="70" spans="1:6" ht="15.75">
      <c r="A70" s="73"/>
      <c r="B70" s="80"/>
      <c r="C70" s="74"/>
      <c r="D70" s="62"/>
      <c r="E70" s="63"/>
      <c r="F70" s="89"/>
    </row>
    <row r="71" spans="1:6" ht="15.75">
      <c r="A71" s="529" t="s">
        <v>813</v>
      </c>
      <c r="B71" s="530"/>
      <c r="C71" s="530"/>
      <c r="D71" s="530"/>
      <c r="E71" s="530"/>
      <c r="F71" s="531"/>
    </row>
    <row r="72" spans="1:6" ht="15.75">
      <c r="A72" s="46" t="s">
        <v>814</v>
      </c>
      <c r="B72" s="69" t="s">
        <v>769</v>
      </c>
      <c r="C72" s="69" t="s">
        <v>770</v>
      </c>
      <c r="D72" s="76"/>
      <c r="E72" s="76"/>
      <c r="F72" s="77"/>
    </row>
    <row r="73" spans="1:6" ht="141.75">
      <c r="A73" s="71" t="s">
        <v>618</v>
      </c>
      <c r="B73" s="51" t="s">
        <v>815</v>
      </c>
      <c r="C73" s="51" t="s">
        <v>816</v>
      </c>
      <c r="D73" s="65"/>
      <c r="E73" s="65"/>
      <c r="F73" s="53" t="s">
        <v>775</v>
      </c>
    </row>
    <row r="74" spans="1:6" ht="47.25">
      <c r="A74" s="72" t="s">
        <v>639</v>
      </c>
      <c r="B74" s="51">
        <f>ROUND(64.36+0.5409*15.83,2)</f>
        <v>72.92</v>
      </c>
      <c r="C74" s="96">
        <v>95</v>
      </c>
      <c r="D74" s="65"/>
      <c r="E74" s="65"/>
      <c r="F74" s="58">
        <f>ROUND(MEDIAN(B74:E74),2)</f>
        <v>83.96</v>
      </c>
    </row>
    <row r="75" spans="1:6" ht="15.75">
      <c r="A75" s="97"/>
      <c r="B75" s="97"/>
      <c r="C75" s="97"/>
      <c r="D75" s="97"/>
      <c r="E75" s="97"/>
      <c r="F75" s="97"/>
    </row>
    <row r="76" spans="1:6" ht="15.75">
      <c r="A76" s="46" t="s">
        <v>379</v>
      </c>
      <c r="B76" s="69" t="s">
        <v>769</v>
      </c>
      <c r="C76" s="69" t="s">
        <v>770</v>
      </c>
      <c r="D76" s="69" t="s">
        <v>771</v>
      </c>
      <c r="E76" s="76"/>
      <c r="F76" s="77"/>
    </row>
    <row r="77" spans="1:6" ht="157.5">
      <c r="A77" s="71" t="s">
        <v>618</v>
      </c>
      <c r="B77" s="51" t="s">
        <v>817</v>
      </c>
      <c r="C77" s="51" t="s">
        <v>818</v>
      </c>
      <c r="D77" s="65" t="s">
        <v>819</v>
      </c>
      <c r="E77" s="65"/>
      <c r="F77" s="53" t="s">
        <v>775</v>
      </c>
    </row>
    <row r="78" spans="1:6" ht="15.75">
      <c r="A78" s="72" t="s">
        <v>820</v>
      </c>
      <c r="B78" s="56">
        <v>55479</v>
      </c>
      <c r="C78" s="56">
        <v>75600</v>
      </c>
      <c r="D78" s="56">
        <v>62537</v>
      </c>
      <c r="E78" s="65"/>
      <c r="F78" s="58">
        <f>ROUND(MEDIAN(B78:E78),2)</f>
        <v>62537</v>
      </c>
    </row>
    <row r="79" spans="1:6" ht="15.75">
      <c r="A79" s="97"/>
      <c r="B79" s="97"/>
      <c r="C79" s="97"/>
      <c r="D79" s="97"/>
      <c r="E79" s="97"/>
      <c r="F79" s="97"/>
    </row>
  </sheetData>
  <mergeCells count="5">
    <mergeCell ref="A1:F1"/>
    <mergeCell ref="A3:F3"/>
    <mergeCell ref="A5:F5"/>
    <mergeCell ref="A27:F27"/>
    <mergeCell ref="A71:F71"/>
  </mergeCells>
  <pageMargins left="0.51180555555555596" right="0.51180555555555596" top="0.78680555555555598" bottom="0.78680555555555598" header="0.31388888888888899" footer="0.31388888888888899"/>
  <pageSetup paperSize="9" scale="80" orientation="landscape" r:id="rId1"/>
  <rowBreaks count="1" manualBreakCount="1">
    <brk id="7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K56"/>
  <sheetViews>
    <sheetView view="pageBreakPreview" topLeftCell="A34" zoomScale="85" zoomScaleSheetLayoutView="85" workbookViewId="0">
      <selection activeCell="B21" sqref="B21:E21"/>
    </sheetView>
  </sheetViews>
  <sheetFormatPr defaultColWidth="9" defaultRowHeight="15"/>
  <cols>
    <col min="1" max="1" width="9" style="11"/>
    <col min="2" max="3" width="16.42578125" style="11" customWidth="1"/>
    <col min="4" max="4" width="14.85546875" style="11" customWidth="1"/>
    <col min="5" max="5" width="6.5703125" style="11" customWidth="1"/>
    <col min="6" max="6" width="10.85546875" style="11" customWidth="1"/>
    <col min="7" max="7" width="9.28515625" style="11" customWidth="1"/>
    <col min="8" max="8" width="10.85546875" style="11" customWidth="1"/>
    <col min="9" max="9" width="21.42578125" style="11" customWidth="1"/>
    <col min="10" max="16384" width="9" style="40"/>
  </cols>
  <sheetData>
    <row r="1" spans="1:9" ht="16.5">
      <c r="A1" s="533" t="s">
        <v>821</v>
      </c>
      <c r="B1" s="534"/>
      <c r="C1" s="534"/>
      <c r="D1" s="534"/>
      <c r="E1" s="534"/>
      <c r="F1" s="534"/>
      <c r="G1" s="534"/>
      <c r="H1" s="534"/>
      <c r="I1" s="535"/>
    </row>
    <row r="2" spans="1:9">
      <c r="A2" s="14"/>
      <c r="B2" s="15"/>
      <c r="C2" s="15"/>
      <c r="D2" s="15"/>
      <c r="E2" s="15"/>
      <c r="F2" s="15"/>
      <c r="G2" s="15"/>
      <c r="H2" s="15"/>
      <c r="I2" s="36"/>
    </row>
    <row r="3" spans="1:9" ht="29.1" customHeight="1">
      <c r="A3" s="536" t="str">
        <f>'PB III - Planilha Orçamentaria'!A4:G4</f>
        <v>OBRA: REFORMA DA SEDE DA DEFENSORIA PÚBLICA DO ESTADO DE RORAIMA NO MUNICIPIO DE SÃO LUIZ DO ANAUA - DPE/RR</v>
      </c>
      <c r="B3" s="537"/>
      <c r="C3" s="537"/>
      <c r="D3" s="537"/>
      <c r="E3" s="537"/>
      <c r="F3" s="537"/>
      <c r="G3" s="537"/>
      <c r="H3" s="537"/>
      <c r="I3" s="538"/>
    </row>
    <row r="4" spans="1:9">
      <c r="A4" s="14" t="str">
        <f>'PB III - Planilha Orçamentaria'!A6:G6</f>
        <v>ENDEREÇO: Av. Joao Rodrigues com Rua Dante de Oliveira, Cidade: São Luiz do Anaua/RR</v>
      </c>
      <c r="B4" s="15"/>
      <c r="C4" s="15"/>
      <c r="D4" s="15"/>
      <c r="E4" s="15"/>
      <c r="F4" s="15"/>
      <c r="G4" s="15"/>
      <c r="H4" s="15"/>
      <c r="I4" s="36"/>
    </row>
    <row r="5" spans="1:9">
      <c r="A5" s="14"/>
      <c r="B5" s="15"/>
      <c r="C5" s="15"/>
      <c r="D5" s="15"/>
      <c r="E5" s="15"/>
      <c r="F5" s="15"/>
      <c r="G5" s="15"/>
      <c r="H5" s="15"/>
      <c r="I5" s="36"/>
    </row>
    <row r="6" spans="1:9" ht="15.75">
      <c r="A6" s="539" t="s">
        <v>822</v>
      </c>
      <c r="B6" s="539"/>
      <c r="C6" s="539"/>
      <c r="D6" s="539"/>
      <c r="E6" s="539"/>
      <c r="F6" s="539"/>
      <c r="G6" s="539"/>
      <c r="H6" s="539"/>
      <c r="I6" s="539"/>
    </row>
    <row r="7" spans="1:9" ht="15.75">
      <c r="A7" s="18"/>
      <c r="B7" s="18"/>
      <c r="C7" s="18"/>
      <c r="D7" s="18"/>
      <c r="E7" s="18"/>
      <c r="F7" s="19"/>
      <c r="G7" s="19"/>
      <c r="H7" s="18"/>
      <c r="I7" s="19"/>
    </row>
    <row r="8" spans="1:9" ht="15.75">
      <c r="A8" s="540" t="s">
        <v>823</v>
      </c>
      <c r="B8" s="540"/>
      <c r="C8" s="540"/>
      <c r="D8" s="540"/>
      <c r="E8" s="540"/>
      <c r="F8" s="540" t="s">
        <v>824</v>
      </c>
      <c r="G8" s="540"/>
      <c r="H8" s="540"/>
      <c r="I8" s="558" t="s">
        <v>825</v>
      </c>
    </row>
    <row r="9" spans="1:9" ht="15.75">
      <c r="A9" s="540"/>
      <c r="B9" s="540"/>
      <c r="C9" s="540"/>
      <c r="D9" s="540"/>
      <c r="E9" s="540"/>
      <c r="F9" s="20" t="s">
        <v>826</v>
      </c>
      <c r="G9" s="20" t="s">
        <v>827</v>
      </c>
      <c r="H9" s="20" t="s">
        <v>828</v>
      </c>
      <c r="I9" s="558"/>
    </row>
    <row r="10" spans="1:9" ht="15.75">
      <c r="A10" s="540" t="s">
        <v>829</v>
      </c>
      <c r="B10" s="541" t="s">
        <v>830</v>
      </c>
      <c r="C10" s="541"/>
      <c r="D10" s="541"/>
      <c r="E10" s="541"/>
      <c r="F10" s="21">
        <v>0.03</v>
      </c>
      <c r="G10" s="22">
        <v>0.04</v>
      </c>
      <c r="H10" s="21">
        <v>5.5E-2</v>
      </c>
      <c r="I10" s="21">
        <f>G10</f>
        <v>0.04</v>
      </c>
    </row>
    <row r="11" spans="1:9" ht="15.75">
      <c r="A11" s="540"/>
      <c r="B11" s="542" t="s">
        <v>831</v>
      </c>
      <c r="C11" s="542"/>
      <c r="D11" s="542"/>
      <c r="E11" s="542"/>
      <c r="F11" s="21">
        <v>8.0000000000000002E-3</v>
      </c>
      <c r="G11" s="22">
        <v>8.0000000000000002E-3</v>
      </c>
      <c r="H11" s="21">
        <v>0.01</v>
      </c>
      <c r="I11" s="21">
        <f>G11</f>
        <v>8.0000000000000002E-3</v>
      </c>
    </row>
    <row r="12" spans="1:9" ht="15.75">
      <c r="A12" s="540"/>
      <c r="B12" s="542" t="s">
        <v>832</v>
      </c>
      <c r="C12" s="542"/>
      <c r="D12" s="542"/>
      <c r="E12" s="542"/>
      <c r="F12" s="21">
        <v>9.7000000000000003E-3</v>
      </c>
      <c r="G12" s="22">
        <v>1.2699999999999999E-2</v>
      </c>
      <c r="H12" s="21">
        <v>1.2699999999999999E-2</v>
      </c>
      <c r="I12" s="21">
        <f>G12</f>
        <v>1.2699999999999999E-2</v>
      </c>
    </row>
    <row r="13" spans="1:9" ht="15.75">
      <c r="A13" s="540"/>
      <c r="B13" s="543" t="s">
        <v>568</v>
      </c>
      <c r="C13" s="543"/>
      <c r="D13" s="543"/>
      <c r="E13" s="543"/>
      <c r="F13" s="543"/>
      <c r="G13" s="543"/>
      <c r="H13" s="543"/>
      <c r="I13" s="24">
        <f>SUM(I10:I12)</f>
        <v>6.0699999999999997E-2</v>
      </c>
    </row>
    <row r="14" spans="1:9" ht="15.75">
      <c r="A14" s="540" t="s">
        <v>833</v>
      </c>
      <c r="B14" s="541" t="s">
        <v>834</v>
      </c>
      <c r="C14" s="541"/>
      <c r="D14" s="541"/>
      <c r="E14" s="541"/>
      <c r="F14" s="21">
        <v>5.8999999999999999E-3</v>
      </c>
      <c r="G14" s="22">
        <v>1.23E-2</v>
      </c>
      <c r="H14" s="21">
        <v>1.3899999999999999E-2</v>
      </c>
      <c r="I14" s="23">
        <f>G14</f>
        <v>1.23E-2</v>
      </c>
    </row>
    <row r="15" spans="1:9" ht="15.75">
      <c r="A15" s="540"/>
      <c r="B15" s="543" t="s">
        <v>568</v>
      </c>
      <c r="C15" s="543"/>
      <c r="D15" s="543"/>
      <c r="E15" s="543"/>
      <c r="F15" s="543"/>
      <c r="G15" s="543"/>
      <c r="H15" s="543"/>
      <c r="I15" s="24">
        <f>I14</f>
        <v>1.23E-2</v>
      </c>
    </row>
    <row r="16" spans="1:9" ht="15.75">
      <c r="A16" s="540" t="s">
        <v>835</v>
      </c>
      <c r="B16" s="541" t="s">
        <v>836</v>
      </c>
      <c r="C16" s="541"/>
      <c r="D16" s="541"/>
      <c r="E16" s="541"/>
      <c r="F16" s="21">
        <v>6.1600000000000002E-2</v>
      </c>
      <c r="G16" s="22">
        <v>7.3999999999999996E-2</v>
      </c>
      <c r="H16" s="21">
        <v>8.9599999999999999E-2</v>
      </c>
      <c r="I16" s="23">
        <f>G16</f>
        <v>7.3999999999999996E-2</v>
      </c>
    </row>
    <row r="17" spans="1:11" ht="15.75">
      <c r="A17" s="540"/>
      <c r="B17" s="543" t="s">
        <v>568</v>
      </c>
      <c r="C17" s="543"/>
      <c r="D17" s="543"/>
      <c r="E17" s="543"/>
      <c r="F17" s="543"/>
      <c r="G17" s="543"/>
      <c r="H17" s="543"/>
      <c r="I17" s="24">
        <f>I16</f>
        <v>7.3999999999999996E-2</v>
      </c>
    </row>
    <row r="18" spans="1:11" ht="15.75">
      <c r="A18" s="540" t="s">
        <v>13</v>
      </c>
      <c r="B18" s="544" t="s">
        <v>837</v>
      </c>
      <c r="C18" s="544"/>
      <c r="D18" s="544"/>
      <c r="E18" s="544"/>
      <c r="F18" s="544"/>
      <c r="G18" s="544"/>
      <c r="H18" s="544"/>
      <c r="I18" s="37"/>
    </row>
    <row r="19" spans="1:11" ht="15.75">
      <c r="A19" s="540"/>
      <c r="B19" s="542" t="s">
        <v>838</v>
      </c>
      <c r="C19" s="542"/>
      <c r="D19" s="542"/>
      <c r="E19" s="542"/>
      <c r="F19" s="23">
        <v>0.03</v>
      </c>
      <c r="G19" s="24">
        <v>0.03</v>
      </c>
      <c r="H19" s="23">
        <v>0.03</v>
      </c>
      <c r="I19" s="23">
        <f>G19</f>
        <v>0.03</v>
      </c>
    </row>
    <row r="20" spans="1:11" ht="15.75">
      <c r="A20" s="540"/>
      <c r="B20" s="542" t="s">
        <v>839</v>
      </c>
      <c r="C20" s="542"/>
      <c r="D20" s="542"/>
      <c r="E20" s="542"/>
      <c r="F20" s="23">
        <v>6.4999999999999997E-3</v>
      </c>
      <c r="G20" s="24">
        <v>6.4999999999999997E-3</v>
      </c>
      <c r="H20" s="23">
        <v>6.4999999999999997E-3</v>
      </c>
      <c r="I20" s="23">
        <f>G20</f>
        <v>6.4999999999999997E-3</v>
      </c>
    </row>
    <row r="21" spans="1:11" ht="15.75">
      <c r="A21" s="540"/>
      <c r="B21" s="542" t="s">
        <v>840</v>
      </c>
      <c r="C21" s="542"/>
      <c r="D21" s="542"/>
      <c r="E21" s="542"/>
      <c r="F21" s="23">
        <v>0.02</v>
      </c>
      <c r="G21" s="24">
        <v>0.05</v>
      </c>
      <c r="H21" s="23">
        <v>0.05</v>
      </c>
      <c r="I21" s="23">
        <f>G21</f>
        <v>0.05</v>
      </c>
    </row>
    <row r="22" spans="1:11" ht="15.75">
      <c r="A22" s="540"/>
      <c r="B22" s="543" t="s">
        <v>568</v>
      </c>
      <c r="C22" s="543"/>
      <c r="D22" s="543"/>
      <c r="E22" s="543"/>
      <c r="F22" s="543"/>
      <c r="G22" s="543"/>
      <c r="H22" s="543"/>
      <c r="I22" s="38">
        <f>SUM(I19:I21)</f>
        <v>8.6499999999999994E-2</v>
      </c>
      <c r="K22" s="40" t="s">
        <v>841</v>
      </c>
    </row>
    <row r="23" spans="1:11" ht="15.75">
      <c r="A23" s="545" t="s">
        <v>842</v>
      </c>
      <c r="B23" s="545"/>
      <c r="C23" s="545"/>
      <c r="D23" s="545"/>
      <c r="E23" s="545"/>
      <c r="F23" s="545"/>
      <c r="G23" s="545"/>
      <c r="H23" s="545"/>
      <c r="I23" s="39">
        <f>F47</f>
        <v>0.26240000000000002</v>
      </c>
    </row>
    <row r="24" spans="1:11" ht="15.75">
      <c r="A24" s="18"/>
      <c r="B24" s="18"/>
      <c r="C24" s="18"/>
      <c r="D24" s="18"/>
      <c r="E24" s="18"/>
      <c r="F24" s="19"/>
      <c r="G24" s="19"/>
      <c r="H24" s="18"/>
      <c r="I24" s="19"/>
    </row>
    <row r="25" spans="1:11" ht="15.75">
      <c r="A25" s="546" t="s">
        <v>843</v>
      </c>
      <c r="B25" s="546"/>
      <c r="C25" s="546"/>
      <c r="D25" s="546"/>
      <c r="E25" s="546"/>
      <c r="F25" s="546" t="s">
        <v>844</v>
      </c>
      <c r="G25" s="546"/>
      <c r="H25" s="546"/>
      <c r="I25" s="546"/>
    </row>
    <row r="26" spans="1:11" ht="15.75">
      <c r="A26" s="25" t="s">
        <v>845</v>
      </c>
      <c r="B26" s="547" t="s">
        <v>846</v>
      </c>
      <c r="C26" s="547"/>
      <c r="D26" s="547"/>
      <c r="E26" s="547"/>
    </row>
    <row r="27" spans="1:11" ht="15.75">
      <c r="A27" s="26" t="s">
        <v>847</v>
      </c>
      <c r="B27" s="548" t="s">
        <v>848</v>
      </c>
      <c r="C27" s="548"/>
      <c r="D27" s="548"/>
      <c r="E27" s="548"/>
    </row>
    <row r="28" spans="1:11" ht="15.75">
      <c r="A28" s="26" t="s">
        <v>849</v>
      </c>
      <c r="B28" s="548" t="s">
        <v>836</v>
      </c>
      <c r="C28" s="548"/>
      <c r="D28" s="548"/>
      <c r="E28" s="548"/>
    </row>
    <row r="29" spans="1:11" ht="15.75">
      <c r="A29" s="26" t="s">
        <v>850</v>
      </c>
      <c r="B29" s="548" t="s">
        <v>851</v>
      </c>
      <c r="C29" s="548"/>
      <c r="D29" s="548"/>
      <c r="E29" s="548"/>
    </row>
    <row r="30" spans="1:11" ht="15.75">
      <c r="A30" s="18"/>
      <c r="B30" s="18"/>
      <c r="C30" s="18"/>
      <c r="D30" s="18"/>
      <c r="E30" s="18"/>
    </row>
    <row r="31" spans="1:11" ht="15.75">
      <c r="A31" s="551" t="s">
        <v>852</v>
      </c>
      <c r="B31" s="27" t="s">
        <v>853</v>
      </c>
      <c r="C31" s="27" t="s">
        <v>854</v>
      </c>
      <c r="D31" s="27" t="s">
        <v>855</v>
      </c>
      <c r="E31" s="554" t="s">
        <v>856</v>
      </c>
      <c r="F31" s="19"/>
      <c r="G31" s="19"/>
      <c r="H31" s="18"/>
      <c r="I31" s="19"/>
    </row>
    <row r="32" spans="1:11" ht="15.75">
      <c r="A32" s="551"/>
      <c r="B32" s="28"/>
      <c r="C32" s="28" t="s">
        <v>857</v>
      </c>
      <c r="D32" s="28"/>
      <c r="E32" s="554"/>
      <c r="F32" s="19"/>
      <c r="G32" s="19"/>
      <c r="H32" s="18"/>
      <c r="I32" s="19"/>
    </row>
    <row r="33" spans="1:9" ht="15.75">
      <c r="A33" s="18"/>
      <c r="B33" s="18"/>
      <c r="C33" s="18"/>
      <c r="D33" s="18"/>
      <c r="E33" s="18"/>
      <c r="F33" s="19"/>
      <c r="G33" s="19"/>
      <c r="H33" s="18"/>
      <c r="I33" s="19"/>
    </row>
    <row r="34" spans="1:9" ht="15.75">
      <c r="A34" s="18"/>
      <c r="B34" s="18"/>
      <c r="C34" s="18"/>
      <c r="D34" s="18"/>
      <c r="E34" s="18"/>
      <c r="F34" s="19"/>
      <c r="G34" s="19"/>
      <c r="H34" s="18"/>
      <c r="I34" s="19"/>
    </row>
    <row r="35" spans="1:9" ht="15.75">
      <c r="A35" s="551" t="s">
        <v>852</v>
      </c>
      <c r="B35" s="29">
        <f>I13</f>
        <v>6.0699999999999997E-2</v>
      </c>
      <c r="C35" s="29">
        <f>I15</f>
        <v>1.23E-2</v>
      </c>
      <c r="D35" s="30">
        <f>I17</f>
        <v>7.3999999999999996E-2</v>
      </c>
      <c r="E35" s="554" t="s">
        <v>856</v>
      </c>
      <c r="F35" s="19"/>
      <c r="G35" s="19"/>
      <c r="H35" s="18"/>
      <c r="I35" s="19"/>
    </row>
    <row r="36" spans="1:9" ht="15.75">
      <c r="A36" s="551"/>
      <c r="B36" s="28"/>
      <c r="C36" s="31">
        <f>I22</f>
        <v>8.6499999999999994E-2</v>
      </c>
      <c r="D36" s="28"/>
      <c r="E36" s="554"/>
      <c r="F36" s="19"/>
      <c r="G36" s="19"/>
      <c r="H36" s="18"/>
      <c r="I36" s="19"/>
    </row>
    <row r="37" spans="1:9" ht="15.75">
      <c r="A37" s="18"/>
      <c r="B37" s="18"/>
      <c r="C37" s="18"/>
      <c r="D37" s="18"/>
      <c r="E37" s="18"/>
      <c r="F37" s="19"/>
      <c r="G37" s="19"/>
      <c r="H37" s="18"/>
      <c r="I37" s="19"/>
    </row>
    <row r="38" spans="1:9" ht="15.75">
      <c r="A38" s="18"/>
      <c r="B38" s="18"/>
      <c r="C38" s="18"/>
      <c r="D38" s="18"/>
      <c r="E38" s="18"/>
      <c r="F38" s="19"/>
      <c r="G38" s="19"/>
      <c r="H38" s="18"/>
      <c r="I38" s="19"/>
    </row>
    <row r="39" spans="1:9" ht="15.75">
      <c r="A39" s="551" t="s">
        <v>852</v>
      </c>
      <c r="B39" s="32">
        <f>I13+1</f>
        <v>1.0607</v>
      </c>
      <c r="C39" s="32">
        <f>I15+1</f>
        <v>1.0123</v>
      </c>
      <c r="D39" s="33">
        <f>I17+1</f>
        <v>1.0740000000000001</v>
      </c>
      <c r="E39" s="554" t="s">
        <v>856</v>
      </c>
      <c r="F39" s="19"/>
      <c r="G39" s="19"/>
      <c r="H39" s="18"/>
      <c r="I39" s="19"/>
    </row>
    <row r="40" spans="1:9" ht="15.75">
      <c r="A40" s="551"/>
      <c r="B40" s="28"/>
      <c r="C40" s="34">
        <f>1-I22</f>
        <v>0.91349999999999998</v>
      </c>
      <c r="D40" s="28"/>
      <c r="E40" s="554"/>
      <c r="F40" s="19"/>
      <c r="G40" s="19"/>
      <c r="H40" s="18"/>
      <c r="I40" s="19"/>
    </row>
    <row r="41" spans="1:9" ht="15.75">
      <c r="A41" s="18"/>
      <c r="B41" s="18"/>
      <c r="C41" s="18"/>
      <c r="D41" s="18"/>
      <c r="E41" s="18"/>
      <c r="F41" s="19"/>
      <c r="G41" s="19"/>
      <c r="H41" s="18"/>
      <c r="I41" s="19"/>
    </row>
    <row r="42" spans="1:9" ht="15.75">
      <c r="A42" s="18"/>
      <c r="B42" s="18"/>
      <c r="C42" s="18"/>
      <c r="D42" s="18"/>
      <c r="E42" s="18"/>
      <c r="F42" s="19"/>
      <c r="G42" s="19"/>
      <c r="H42" s="18"/>
      <c r="I42" s="19"/>
    </row>
    <row r="43" spans="1:9" ht="15.75">
      <c r="A43" s="551" t="s">
        <v>852</v>
      </c>
      <c r="B43" s="33">
        <f>B39*C39*D39</f>
        <v>1.15320385914</v>
      </c>
      <c r="C43" s="553" t="s">
        <v>858</v>
      </c>
      <c r="D43" s="18"/>
      <c r="E43" s="18"/>
      <c r="F43" s="19"/>
      <c r="G43" s="19"/>
      <c r="H43" s="18"/>
      <c r="I43" s="19"/>
    </row>
    <row r="44" spans="1:9" ht="15.75">
      <c r="A44" s="551"/>
      <c r="B44" s="34">
        <f>C40</f>
        <v>0.91349999999999998</v>
      </c>
      <c r="C44" s="553"/>
      <c r="D44" s="18"/>
      <c r="E44" s="18"/>
      <c r="F44" s="19"/>
      <c r="G44" s="19"/>
      <c r="H44" s="18"/>
      <c r="I44" s="19"/>
    </row>
    <row r="45" spans="1:9" ht="15.75">
      <c r="A45" s="18"/>
      <c r="B45" s="18"/>
      <c r="C45" s="18"/>
      <c r="D45" s="18"/>
      <c r="E45" s="18"/>
      <c r="F45" s="19"/>
      <c r="G45" s="19"/>
      <c r="H45" s="18"/>
      <c r="I45" s="19"/>
    </row>
    <row r="46" spans="1:9" ht="15.75">
      <c r="A46" s="18"/>
      <c r="B46" s="18"/>
      <c r="C46" s="18"/>
      <c r="D46" s="18"/>
      <c r="E46" s="18"/>
      <c r="F46" s="19"/>
      <c r="G46" s="19"/>
      <c r="H46" s="18"/>
      <c r="I46" s="19"/>
    </row>
    <row r="47" spans="1:9" ht="15.75">
      <c r="A47" s="551" t="s">
        <v>852</v>
      </c>
      <c r="B47" s="552">
        <f>B43/B44</f>
        <v>1.2624015973070599</v>
      </c>
      <c r="C47" s="553" t="s">
        <v>858</v>
      </c>
      <c r="D47" s="18"/>
      <c r="E47" s="555" t="s">
        <v>852</v>
      </c>
      <c r="F47" s="556">
        <f>ROUND(B47-1,4)</f>
        <v>0.26240000000000002</v>
      </c>
      <c r="G47" s="19"/>
      <c r="H47" s="18"/>
      <c r="I47" s="19"/>
    </row>
    <row r="48" spans="1:9" ht="15.75">
      <c r="A48" s="551"/>
      <c r="B48" s="552"/>
      <c r="C48" s="553"/>
      <c r="D48" s="18"/>
      <c r="E48" s="555"/>
      <c r="F48" s="556"/>
      <c r="G48" s="19"/>
      <c r="H48" s="18"/>
      <c r="I48" s="19"/>
    </row>
    <row r="49" spans="1:9" ht="15.75">
      <c r="A49" s="18"/>
      <c r="B49" s="18"/>
      <c r="C49" s="18"/>
      <c r="D49" s="18"/>
      <c r="E49" s="18"/>
      <c r="F49" s="19"/>
      <c r="G49" s="19"/>
      <c r="H49" s="18"/>
      <c r="I49" s="19"/>
    </row>
    <row r="50" spans="1:9" ht="15.75">
      <c r="A50" s="549" t="s">
        <v>859</v>
      </c>
      <c r="B50" s="549"/>
      <c r="C50" s="549"/>
      <c r="D50" s="549"/>
      <c r="E50" s="549"/>
      <c r="F50" s="549"/>
      <c r="G50" s="549"/>
      <c r="H50" s="549"/>
      <c r="I50" s="549"/>
    </row>
    <row r="51" spans="1:9" ht="15.75">
      <c r="A51" s="550" t="s">
        <v>860</v>
      </c>
      <c r="B51" s="550"/>
      <c r="C51" s="550"/>
      <c r="D51" s="550"/>
      <c r="E51" s="550"/>
      <c r="F51" s="550"/>
      <c r="G51" s="550"/>
      <c r="H51" s="550"/>
      <c r="I51" s="550"/>
    </row>
    <row r="52" spans="1:9" ht="15.75" customHeight="1">
      <c r="A52" s="559" t="s">
        <v>861</v>
      </c>
      <c r="B52" s="559"/>
      <c r="C52" s="559"/>
      <c r="D52" s="559"/>
      <c r="E52" s="559"/>
      <c r="F52" s="559"/>
      <c r="G52" s="559"/>
      <c r="H52" s="559"/>
      <c r="I52" s="559"/>
    </row>
    <row r="53" spans="1:9">
      <c r="A53" s="559"/>
      <c r="B53" s="559"/>
      <c r="C53" s="559"/>
      <c r="D53" s="559"/>
      <c r="E53" s="559"/>
      <c r="F53" s="559"/>
      <c r="G53" s="559"/>
      <c r="H53" s="559"/>
      <c r="I53" s="559"/>
    </row>
    <row r="55" spans="1:9">
      <c r="F55" s="557"/>
    </row>
    <row r="56" spans="1:9">
      <c r="F56" s="557"/>
    </row>
  </sheetData>
  <mergeCells count="47">
    <mergeCell ref="F55:F56"/>
    <mergeCell ref="I8:I9"/>
    <mergeCell ref="A8:E9"/>
    <mergeCell ref="A52:I53"/>
    <mergeCell ref="A51:I51"/>
    <mergeCell ref="A10:A13"/>
    <mergeCell ref="A14:A15"/>
    <mergeCell ref="A16:A17"/>
    <mergeCell ref="A18:A22"/>
    <mergeCell ref="A31:A32"/>
    <mergeCell ref="A35:A36"/>
    <mergeCell ref="A39:A40"/>
    <mergeCell ref="A43:A44"/>
    <mergeCell ref="A47:A48"/>
    <mergeCell ref="B47:B48"/>
    <mergeCell ref="C43:C44"/>
    <mergeCell ref="C47:C48"/>
    <mergeCell ref="E31:E32"/>
    <mergeCell ref="E35:E36"/>
    <mergeCell ref="E39:E40"/>
    <mergeCell ref="B26:E26"/>
    <mergeCell ref="B27:E27"/>
    <mergeCell ref="B28:E28"/>
    <mergeCell ref="B29:E29"/>
    <mergeCell ref="A50:I50"/>
    <mergeCell ref="E47:E48"/>
    <mergeCell ref="F47:F48"/>
    <mergeCell ref="B21:E21"/>
    <mergeCell ref="B22:H22"/>
    <mergeCell ref="A23:H23"/>
    <mergeCell ref="A25:E25"/>
    <mergeCell ref="F25:I25"/>
    <mergeCell ref="B16:E16"/>
    <mergeCell ref="B17:H17"/>
    <mergeCell ref="B18:H18"/>
    <mergeCell ref="B19:E19"/>
    <mergeCell ref="B20:E20"/>
    <mergeCell ref="B11:E11"/>
    <mergeCell ref="B12:E12"/>
    <mergeCell ref="B13:H13"/>
    <mergeCell ref="B14:E14"/>
    <mergeCell ref="B15:H15"/>
    <mergeCell ref="A1:I1"/>
    <mergeCell ref="A3:I3"/>
    <mergeCell ref="A6:I6"/>
    <mergeCell ref="F8:H8"/>
    <mergeCell ref="B10:E10"/>
  </mergeCells>
  <pageMargins left="0.51180555555555596" right="0.51180555555555596" top="1.4479166666666701" bottom="0.78680555555555598" header="0.31388888888888899" footer="0.31388888888888899"/>
  <pageSetup paperSize="9" scale="79" orientation="portrait" r:id="rId1"/>
  <headerFooter>
    <oddHeader>&amp;C&amp;G
DEFENSORIA PÚBLICA DO ESTADO DE RORAIMA
“Amazônia: Patrimônio dos brasileiros”
____________________________________________________________________________________________________</oddHeader>
  </headerFooter>
  <colBreaks count="1" manualBreakCount="1">
    <brk id="9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2"/>
  <sheetViews>
    <sheetView view="pageBreakPreview" topLeftCell="A13" zoomScale="85" zoomScaleSheetLayoutView="85" workbookViewId="0">
      <selection activeCell="F48" sqref="F48"/>
    </sheetView>
  </sheetViews>
  <sheetFormatPr defaultColWidth="9" defaultRowHeight="15"/>
  <cols>
    <col min="1" max="1" width="9" style="11"/>
    <col min="2" max="3" width="17.5703125" style="11" customWidth="1"/>
    <col min="4" max="4" width="15.7109375" style="11" customWidth="1"/>
    <col min="5" max="5" width="6.5703125" style="11" customWidth="1"/>
    <col min="6" max="6" width="10.85546875" style="11" customWidth="1"/>
    <col min="7" max="7" width="9.28515625" style="11" customWidth="1"/>
    <col min="8" max="8" width="10.85546875" style="11" customWidth="1"/>
    <col min="9" max="9" width="21.42578125" style="11" customWidth="1"/>
    <col min="12" max="12" width="12.85546875"/>
  </cols>
  <sheetData>
    <row r="1" spans="1:9" ht="16.5">
      <c r="A1" s="533" t="s">
        <v>862</v>
      </c>
      <c r="B1" s="534"/>
      <c r="C1" s="534"/>
      <c r="D1" s="534"/>
      <c r="E1" s="534"/>
      <c r="F1" s="534"/>
      <c r="G1" s="534"/>
      <c r="H1" s="534"/>
      <c r="I1" s="535"/>
    </row>
    <row r="2" spans="1:9" ht="16.5">
      <c r="A2" s="12"/>
      <c r="B2" s="13"/>
      <c r="C2" s="13"/>
      <c r="D2" s="13"/>
      <c r="E2" s="13"/>
      <c r="F2" s="13"/>
      <c r="G2" s="13"/>
      <c r="H2" s="13"/>
      <c r="I2" s="35"/>
    </row>
    <row r="3" spans="1:9" ht="30" customHeight="1">
      <c r="A3" s="536" t="str">
        <f>'PB III - Planilha Orçamentaria'!A4:G4</f>
        <v>OBRA: REFORMA DA SEDE DA DEFENSORIA PÚBLICA DO ESTADO DE RORAIMA NO MUNICIPIO DE SÃO LUIZ DO ANAUA - DPE/RR</v>
      </c>
      <c r="B3" s="537"/>
      <c r="C3" s="537"/>
      <c r="D3" s="537"/>
      <c r="E3" s="537"/>
      <c r="F3" s="537"/>
      <c r="G3" s="537"/>
      <c r="H3" s="537"/>
      <c r="I3" s="538"/>
    </row>
    <row r="4" spans="1:9">
      <c r="A4" s="14" t="str">
        <f>'PB III - Planilha Orçamentaria'!A6:G6</f>
        <v>ENDEREÇO: Av. Joao Rodrigues com Rua Dante de Oliveira, Cidade: São Luiz do Anaua/RR</v>
      </c>
      <c r="B4" s="15"/>
      <c r="C4" s="15"/>
      <c r="D4" s="15"/>
      <c r="E4" s="15"/>
      <c r="F4" s="15"/>
      <c r="G4" s="15"/>
      <c r="H4" s="15"/>
      <c r="I4" s="36"/>
    </row>
    <row r="5" spans="1:9" ht="15.75">
      <c r="A5" s="16"/>
      <c r="B5" s="17"/>
      <c r="C5" s="17"/>
      <c r="D5" s="17"/>
      <c r="E5" s="17"/>
      <c r="F5" s="17"/>
      <c r="G5" s="17"/>
      <c r="H5" s="17"/>
      <c r="I5" s="36"/>
    </row>
    <row r="6" spans="1:9" ht="15.75">
      <c r="A6" s="539" t="s">
        <v>863</v>
      </c>
      <c r="B6" s="539"/>
      <c r="C6" s="539"/>
      <c r="D6" s="539"/>
      <c r="E6" s="539"/>
      <c r="F6" s="539"/>
      <c r="G6" s="539"/>
      <c r="H6" s="539"/>
      <c r="I6" s="539"/>
    </row>
    <row r="7" spans="1:9" ht="15.75">
      <c r="A7" s="18"/>
      <c r="B7" s="18"/>
      <c r="C7" s="18"/>
      <c r="D7" s="18"/>
      <c r="E7" s="18"/>
      <c r="F7" s="19"/>
      <c r="G7" s="19"/>
      <c r="H7" s="18"/>
      <c r="I7" s="19"/>
    </row>
    <row r="8" spans="1:9" ht="15.75">
      <c r="A8" s="540" t="s">
        <v>823</v>
      </c>
      <c r="B8" s="540"/>
      <c r="C8" s="540"/>
      <c r="D8" s="540"/>
      <c r="E8" s="540"/>
      <c r="F8" s="540" t="s">
        <v>824</v>
      </c>
      <c r="G8" s="540"/>
      <c r="H8" s="540"/>
      <c r="I8" s="558" t="s">
        <v>825</v>
      </c>
    </row>
    <row r="9" spans="1:9" ht="15.75">
      <c r="A9" s="540"/>
      <c r="B9" s="540"/>
      <c r="C9" s="540"/>
      <c r="D9" s="540"/>
      <c r="E9" s="540"/>
      <c r="F9" s="20" t="s">
        <v>826</v>
      </c>
      <c r="G9" s="20" t="s">
        <v>827</v>
      </c>
      <c r="H9" s="20" t="s">
        <v>828</v>
      </c>
      <c r="I9" s="558"/>
    </row>
    <row r="10" spans="1:9" ht="15.75">
      <c r="A10" s="540" t="s">
        <v>829</v>
      </c>
      <c r="B10" s="541" t="s">
        <v>830</v>
      </c>
      <c r="C10" s="541"/>
      <c r="D10" s="541"/>
      <c r="E10" s="541"/>
      <c r="F10" s="21">
        <v>1.4999999999999999E-2</v>
      </c>
      <c r="G10" s="22">
        <v>3.4500000000000003E-2</v>
      </c>
      <c r="H10" s="21">
        <v>4.4900000000000002E-2</v>
      </c>
      <c r="I10" s="21">
        <f>G10</f>
        <v>3.4500000000000003E-2</v>
      </c>
    </row>
    <row r="11" spans="1:9" ht="15.75">
      <c r="A11" s="540"/>
      <c r="B11" s="542" t="s">
        <v>831</v>
      </c>
      <c r="C11" s="542"/>
      <c r="D11" s="542"/>
      <c r="E11" s="542"/>
      <c r="F11" s="21">
        <v>3.0000000000000001E-3</v>
      </c>
      <c r="G11" s="22">
        <v>4.7999999999999996E-3</v>
      </c>
      <c r="H11" s="21">
        <v>8.2000000000000007E-3</v>
      </c>
      <c r="I11" s="21">
        <f>G11</f>
        <v>4.7999999999999996E-3</v>
      </c>
    </row>
    <row r="12" spans="1:9" ht="15.75">
      <c r="A12" s="540"/>
      <c r="B12" s="542" t="s">
        <v>832</v>
      </c>
      <c r="C12" s="542"/>
      <c r="D12" s="542"/>
      <c r="E12" s="542"/>
      <c r="F12" s="21">
        <v>5.5999999999999999E-3</v>
      </c>
      <c r="G12" s="22">
        <v>8.5000000000000006E-3</v>
      </c>
      <c r="H12" s="21">
        <v>8.8999999999999999E-3</v>
      </c>
      <c r="I12" s="21">
        <f>G12</f>
        <v>8.5000000000000006E-3</v>
      </c>
    </row>
    <row r="13" spans="1:9" ht="15.75">
      <c r="A13" s="540"/>
      <c r="B13" s="543" t="s">
        <v>568</v>
      </c>
      <c r="C13" s="543"/>
      <c r="D13" s="543"/>
      <c r="E13" s="543"/>
      <c r="F13" s="543"/>
      <c r="G13" s="543"/>
      <c r="H13" s="543"/>
      <c r="I13" s="24">
        <f>SUM(I10:I12)</f>
        <v>4.7800000000000002E-2</v>
      </c>
    </row>
    <row r="14" spans="1:9" ht="15.75">
      <c r="A14" s="540" t="s">
        <v>833</v>
      </c>
      <c r="B14" s="541" t="s">
        <v>834</v>
      </c>
      <c r="C14" s="541"/>
      <c r="D14" s="541"/>
      <c r="E14" s="541"/>
      <c r="F14" s="21">
        <v>8.5000000000000006E-3</v>
      </c>
      <c r="G14" s="22">
        <v>8.5000000000000006E-3</v>
      </c>
      <c r="H14" s="21">
        <v>1.11E-2</v>
      </c>
      <c r="I14" s="23">
        <f>G14</f>
        <v>8.5000000000000006E-3</v>
      </c>
    </row>
    <row r="15" spans="1:9" ht="15.75">
      <c r="A15" s="540"/>
      <c r="B15" s="543" t="s">
        <v>568</v>
      </c>
      <c r="C15" s="543"/>
      <c r="D15" s="543"/>
      <c r="E15" s="543"/>
      <c r="F15" s="543"/>
      <c r="G15" s="543"/>
      <c r="H15" s="543"/>
      <c r="I15" s="24">
        <f>I14</f>
        <v>8.5000000000000006E-3</v>
      </c>
    </row>
    <row r="16" spans="1:9" ht="15.75">
      <c r="A16" s="540" t="s">
        <v>835</v>
      </c>
      <c r="B16" s="541" t="s">
        <v>836</v>
      </c>
      <c r="C16" s="541"/>
      <c r="D16" s="541"/>
      <c r="E16" s="541"/>
      <c r="F16" s="21">
        <v>3.5000000000000003E-2</v>
      </c>
      <c r="G16" s="22">
        <v>5.11E-2</v>
      </c>
      <c r="H16" s="21">
        <v>6.2199999999999998E-2</v>
      </c>
      <c r="I16" s="23">
        <f>G16</f>
        <v>5.11E-2</v>
      </c>
    </row>
    <row r="17" spans="1:9" ht="15.75">
      <c r="A17" s="540"/>
      <c r="B17" s="543" t="s">
        <v>568</v>
      </c>
      <c r="C17" s="543"/>
      <c r="D17" s="543"/>
      <c r="E17" s="543"/>
      <c r="F17" s="543"/>
      <c r="G17" s="543"/>
      <c r="H17" s="543"/>
      <c r="I17" s="24">
        <f>I16</f>
        <v>5.11E-2</v>
      </c>
    </row>
    <row r="18" spans="1:9" ht="15.75">
      <c r="A18" s="540" t="s">
        <v>13</v>
      </c>
      <c r="B18" s="544" t="s">
        <v>837</v>
      </c>
      <c r="C18" s="544"/>
      <c r="D18" s="544"/>
      <c r="E18" s="544"/>
      <c r="F18" s="544"/>
      <c r="G18" s="544"/>
      <c r="H18" s="544"/>
      <c r="I18" s="37"/>
    </row>
    <row r="19" spans="1:9" ht="15.75">
      <c r="A19" s="540"/>
      <c r="B19" s="542" t="s">
        <v>838</v>
      </c>
      <c r="C19" s="542"/>
      <c r="D19" s="542"/>
      <c r="E19" s="542"/>
      <c r="F19" s="23">
        <v>0.03</v>
      </c>
      <c r="G19" s="24">
        <v>0.03</v>
      </c>
      <c r="H19" s="23">
        <v>0.03</v>
      </c>
      <c r="I19" s="23">
        <f>G19</f>
        <v>0.03</v>
      </c>
    </row>
    <row r="20" spans="1:9" ht="15.75">
      <c r="A20" s="540"/>
      <c r="B20" s="542" t="s">
        <v>839</v>
      </c>
      <c r="C20" s="542"/>
      <c r="D20" s="542"/>
      <c r="E20" s="542"/>
      <c r="F20" s="23">
        <v>6.4999999999999997E-3</v>
      </c>
      <c r="G20" s="24">
        <v>6.4999999999999997E-3</v>
      </c>
      <c r="H20" s="23">
        <v>6.4999999999999997E-3</v>
      </c>
      <c r="I20" s="23">
        <f>G20</f>
        <v>6.4999999999999997E-3</v>
      </c>
    </row>
    <row r="21" spans="1:9" ht="15.75">
      <c r="A21" s="540"/>
      <c r="B21" s="543" t="s">
        <v>568</v>
      </c>
      <c r="C21" s="543"/>
      <c r="D21" s="543"/>
      <c r="E21" s="543"/>
      <c r="F21" s="543"/>
      <c r="G21" s="543"/>
      <c r="H21" s="543"/>
      <c r="I21" s="38">
        <f>SUM(I19:I20)</f>
        <v>3.6499999999999998E-2</v>
      </c>
    </row>
    <row r="22" spans="1:9" ht="15.75">
      <c r="A22" s="545" t="s">
        <v>842</v>
      </c>
      <c r="B22" s="545"/>
      <c r="C22" s="545"/>
      <c r="D22" s="545"/>
      <c r="E22" s="545"/>
      <c r="F22" s="545"/>
      <c r="G22" s="545"/>
      <c r="H22" s="545"/>
      <c r="I22" s="39">
        <f>F46</f>
        <v>0.15279999999999999</v>
      </c>
    </row>
    <row r="23" spans="1:9" ht="15.75">
      <c r="A23" s="18"/>
      <c r="B23" s="18"/>
      <c r="C23" s="18"/>
      <c r="D23" s="18"/>
      <c r="E23" s="18"/>
      <c r="F23" s="19"/>
      <c r="G23" s="19"/>
      <c r="H23" s="18"/>
      <c r="I23" s="19"/>
    </row>
    <row r="24" spans="1:9" ht="15.75">
      <c r="A24" s="546" t="s">
        <v>843</v>
      </c>
      <c r="B24" s="546"/>
      <c r="C24" s="546"/>
      <c r="D24" s="546"/>
      <c r="E24" s="546"/>
      <c r="F24" s="546" t="s">
        <v>844</v>
      </c>
      <c r="G24" s="546"/>
      <c r="H24" s="546"/>
      <c r="I24" s="546"/>
    </row>
    <row r="25" spans="1:9" ht="15.75">
      <c r="A25" s="25" t="s">
        <v>845</v>
      </c>
      <c r="B25" s="547" t="s">
        <v>846</v>
      </c>
      <c r="C25" s="547"/>
      <c r="D25" s="547"/>
      <c r="E25" s="547"/>
    </row>
    <row r="26" spans="1:9" ht="15.75">
      <c r="A26" s="26" t="s">
        <v>847</v>
      </c>
      <c r="B26" s="548" t="s">
        <v>848</v>
      </c>
      <c r="C26" s="548"/>
      <c r="D26" s="548"/>
      <c r="E26" s="548"/>
    </row>
    <row r="27" spans="1:9" ht="15.75">
      <c r="A27" s="26" t="s">
        <v>849</v>
      </c>
      <c r="B27" s="548" t="s">
        <v>836</v>
      </c>
      <c r="C27" s="548"/>
      <c r="D27" s="548"/>
      <c r="E27" s="548"/>
    </row>
    <row r="28" spans="1:9" ht="15.75">
      <c r="A28" s="26" t="s">
        <v>850</v>
      </c>
      <c r="B28" s="548" t="s">
        <v>851</v>
      </c>
      <c r="C28" s="548"/>
      <c r="D28" s="548"/>
      <c r="E28" s="548"/>
    </row>
    <row r="29" spans="1:9" ht="15.75">
      <c r="A29" s="18"/>
      <c r="B29" s="18"/>
      <c r="C29" s="18"/>
      <c r="D29" s="18"/>
      <c r="E29" s="18"/>
    </row>
    <row r="30" spans="1:9" ht="15.75">
      <c r="A30" s="551" t="s">
        <v>852</v>
      </c>
      <c r="B30" s="27" t="s">
        <v>853</v>
      </c>
      <c r="C30" s="27" t="s">
        <v>854</v>
      </c>
      <c r="D30" s="27" t="s">
        <v>855</v>
      </c>
      <c r="E30" s="554" t="s">
        <v>856</v>
      </c>
      <c r="F30" s="19"/>
      <c r="G30" s="19"/>
      <c r="H30" s="18"/>
      <c r="I30" s="19"/>
    </row>
    <row r="31" spans="1:9" ht="15.75">
      <c r="A31" s="551"/>
      <c r="B31" s="28"/>
      <c r="C31" s="28" t="s">
        <v>857</v>
      </c>
      <c r="D31" s="28"/>
      <c r="E31" s="554"/>
      <c r="F31" s="19"/>
      <c r="G31" s="19"/>
      <c r="H31" s="18"/>
      <c r="I31" s="19"/>
    </row>
    <row r="32" spans="1:9" ht="15.75">
      <c r="A32" s="18"/>
      <c r="B32" s="18"/>
      <c r="C32" s="18"/>
      <c r="D32" s="18"/>
      <c r="E32" s="18"/>
      <c r="F32" s="19"/>
      <c r="G32" s="19"/>
      <c r="H32" s="18"/>
      <c r="I32" s="19"/>
    </row>
    <row r="33" spans="1:9" ht="15.75">
      <c r="A33" s="18"/>
      <c r="B33" s="18"/>
      <c r="C33" s="18"/>
      <c r="D33" s="18"/>
      <c r="E33" s="18"/>
      <c r="F33" s="19"/>
      <c r="G33" s="19"/>
      <c r="H33" s="18"/>
      <c r="I33" s="19"/>
    </row>
    <row r="34" spans="1:9" ht="15.75">
      <c r="A34" s="551" t="s">
        <v>852</v>
      </c>
      <c r="B34" s="29">
        <f>I13</f>
        <v>4.7800000000000002E-2</v>
      </c>
      <c r="C34" s="29">
        <f>I15</f>
        <v>8.5000000000000006E-3</v>
      </c>
      <c r="D34" s="30">
        <f>I17</f>
        <v>5.11E-2</v>
      </c>
      <c r="E34" s="554" t="s">
        <v>856</v>
      </c>
      <c r="F34" s="19"/>
      <c r="G34" s="19"/>
      <c r="H34" s="18"/>
      <c r="I34" s="19"/>
    </row>
    <row r="35" spans="1:9" ht="15.75">
      <c r="A35" s="551"/>
      <c r="B35" s="28"/>
      <c r="C35" s="31">
        <f>I21</f>
        <v>3.6499999999999998E-2</v>
      </c>
      <c r="D35" s="28"/>
      <c r="E35" s="554"/>
      <c r="F35" s="19"/>
      <c r="G35" s="19"/>
      <c r="H35" s="18"/>
      <c r="I35" s="19"/>
    </row>
    <row r="36" spans="1:9" ht="15.75">
      <c r="A36" s="18"/>
      <c r="B36" s="18"/>
      <c r="C36" s="18"/>
      <c r="D36" s="18"/>
      <c r="E36" s="18"/>
      <c r="F36" s="19"/>
      <c r="G36" s="19"/>
      <c r="H36" s="18"/>
      <c r="I36" s="19"/>
    </row>
    <row r="37" spans="1:9" ht="15.75">
      <c r="A37" s="18"/>
      <c r="B37" s="18"/>
      <c r="C37" s="18"/>
      <c r="D37" s="18"/>
      <c r="E37" s="18"/>
      <c r="F37" s="19"/>
      <c r="G37" s="19"/>
      <c r="H37" s="18"/>
      <c r="I37" s="19"/>
    </row>
    <row r="38" spans="1:9" ht="15.75">
      <c r="A38" s="551" t="s">
        <v>852</v>
      </c>
      <c r="B38" s="32">
        <f>I13+1</f>
        <v>1.0478000000000001</v>
      </c>
      <c r="C38" s="32">
        <f>I15+1</f>
        <v>1.0085</v>
      </c>
      <c r="D38" s="33">
        <f>I17+1</f>
        <v>1.0510999999999999</v>
      </c>
      <c r="E38" s="554" t="s">
        <v>856</v>
      </c>
      <c r="F38" s="19"/>
      <c r="G38" s="19"/>
      <c r="H38" s="18"/>
      <c r="I38" s="19"/>
    </row>
    <row r="39" spans="1:9" ht="15.75">
      <c r="A39" s="551"/>
      <c r="B39" s="28"/>
      <c r="C39" s="34">
        <f>1-I21</f>
        <v>0.96350000000000002</v>
      </c>
      <c r="D39" s="28"/>
      <c r="E39" s="554"/>
      <c r="F39" s="19"/>
      <c r="G39" s="19"/>
      <c r="H39" s="18"/>
      <c r="I39" s="19"/>
    </row>
    <row r="40" spans="1:9" ht="15.75">
      <c r="A40" s="18"/>
      <c r="B40" s="18"/>
      <c r="C40" s="18"/>
      <c r="D40" s="18"/>
      <c r="E40" s="18"/>
      <c r="F40" s="19"/>
      <c r="G40" s="19"/>
      <c r="H40" s="18"/>
      <c r="I40" s="19"/>
    </row>
    <row r="41" spans="1:9" ht="15.75">
      <c r="A41" s="18"/>
      <c r="B41" s="18"/>
      <c r="C41" s="18"/>
      <c r="D41" s="18"/>
      <c r="E41" s="18"/>
      <c r="F41" s="19"/>
      <c r="G41" s="19"/>
      <c r="H41" s="18"/>
      <c r="I41" s="19"/>
    </row>
    <row r="42" spans="1:9" ht="15.75">
      <c r="A42" s="551" t="s">
        <v>852</v>
      </c>
      <c r="B42" s="33">
        <f>B38*C38*D38</f>
        <v>1.1107039919299999</v>
      </c>
      <c r="C42" s="553" t="s">
        <v>858</v>
      </c>
      <c r="D42" s="18"/>
      <c r="E42" s="18"/>
      <c r="F42" s="19"/>
      <c r="G42" s="19"/>
      <c r="H42" s="18"/>
      <c r="I42" s="19"/>
    </row>
    <row r="43" spans="1:9" ht="15.75">
      <c r="A43" s="551"/>
      <c r="B43" s="34">
        <f>C39</f>
        <v>0.96350000000000002</v>
      </c>
      <c r="C43" s="553"/>
      <c r="D43" s="18"/>
      <c r="E43" s="18"/>
      <c r="F43" s="19"/>
      <c r="G43" s="19"/>
      <c r="H43" s="18"/>
      <c r="I43" s="19"/>
    </row>
    <row r="44" spans="1:9" ht="15.75">
      <c r="A44" s="18"/>
      <c r="B44" s="18"/>
      <c r="C44" s="18"/>
      <c r="D44" s="18"/>
      <c r="E44" s="18"/>
      <c r="F44" s="19"/>
      <c r="G44" s="19"/>
      <c r="H44" s="18"/>
      <c r="I44" s="19"/>
    </row>
    <row r="45" spans="1:9" ht="15.75">
      <c r="A45" s="18"/>
      <c r="B45" s="18"/>
      <c r="C45" s="18"/>
      <c r="D45" s="18"/>
      <c r="E45" s="18"/>
      <c r="F45" s="19"/>
      <c r="G45" s="19"/>
      <c r="H45" s="18"/>
      <c r="I45" s="19"/>
    </row>
    <row r="46" spans="1:9" ht="15.75">
      <c r="A46" s="551" t="s">
        <v>852</v>
      </c>
      <c r="B46" s="552">
        <f>B42/B43</f>
        <v>1.1527804794291601</v>
      </c>
      <c r="C46" s="553" t="s">
        <v>858</v>
      </c>
      <c r="D46" s="18"/>
      <c r="E46" s="555" t="s">
        <v>852</v>
      </c>
      <c r="F46" s="556">
        <f>ROUND(B46-1,4)</f>
        <v>0.15279999999999999</v>
      </c>
      <c r="G46" s="19"/>
      <c r="H46" s="18"/>
      <c r="I46" s="19"/>
    </row>
    <row r="47" spans="1:9" ht="15.75">
      <c r="A47" s="551"/>
      <c r="B47" s="552"/>
      <c r="C47" s="553"/>
      <c r="D47" s="18"/>
      <c r="E47" s="555"/>
      <c r="F47" s="556"/>
      <c r="G47" s="19"/>
      <c r="H47" s="18"/>
      <c r="I47" s="19"/>
    </row>
    <row r="48" spans="1:9" ht="15.75">
      <c r="A48" s="18"/>
      <c r="B48" s="18"/>
      <c r="C48" s="18"/>
      <c r="D48" s="18"/>
      <c r="E48" s="18"/>
      <c r="F48" s="19"/>
      <c r="G48" s="19"/>
      <c r="H48" s="18"/>
      <c r="I48" s="19"/>
    </row>
    <row r="49" spans="1:9" ht="15.75">
      <c r="A49" s="549" t="s">
        <v>864</v>
      </c>
      <c r="B49" s="549"/>
      <c r="C49" s="549"/>
      <c r="D49" s="549"/>
      <c r="E49" s="549"/>
      <c r="F49" s="549"/>
      <c r="G49" s="549"/>
      <c r="H49" s="549"/>
      <c r="I49" s="549"/>
    </row>
    <row r="50" spans="1:9" ht="15.75">
      <c r="A50" s="550" t="s">
        <v>860</v>
      </c>
      <c r="B50" s="550"/>
      <c r="C50" s="550"/>
      <c r="D50" s="550"/>
      <c r="E50" s="550"/>
      <c r="F50" s="550"/>
      <c r="G50" s="550"/>
      <c r="H50" s="550"/>
      <c r="I50" s="550"/>
    </row>
    <row r="51" spans="1:9" ht="15.75" customHeight="1">
      <c r="A51" s="559" t="s">
        <v>861</v>
      </c>
      <c r="B51" s="559"/>
      <c r="C51" s="559"/>
      <c r="D51" s="559"/>
      <c r="E51" s="559"/>
      <c r="F51" s="559"/>
      <c r="G51" s="559"/>
      <c r="H51" s="559"/>
      <c r="I51" s="559"/>
    </row>
    <row r="52" spans="1:9">
      <c r="A52" s="559"/>
      <c r="B52" s="559"/>
      <c r="C52" s="559"/>
      <c r="D52" s="559"/>
      <c r="E52" s="559"/>
      <c r="F52" s="559"/>
      <c r="G52" s="559"/>
      <c r="H52" s="559"/>
      <c r="I52" s="559"/>
    </row>
  </sheetData>
  <mergeCells count="45">
    <mergeCell ref="A51:I52"/>
    <mergeCell ref="A14:A15"/>
    <mergeCell ref="A16:A17"/>
    <mergeCell ref="A18:A21"/>
    <mergeCell ref="A30:A31"/>
    <mergeCell ref="A34:A35"/>
    <mergeCell ref="B26:E26"/>
    <mergeCell ref="B27:E27"/>
    <mergeCell ref="B28:E28"/>
    <mergeCell ref="A49:I49"/>
    <mergeCell ref="A50:I50"/>
    <mergeCell ref="A38:A39"/>
    <mergeCell ref="A42:A43"/>
    <mergeCell ref="A46:A47"/>
    <mergeCell ref="B46:B47"/>
    <mergeCell ref="C42:C43"/>
    <mergeCell ref="C46:C47"/>
    <mergeCell ref="E30:E31"/>
    <mergeCell ref="E34:E35"/>
    <mergeCell ref="E38:E39"/>
    <mergeCell ref="E46:E47"/>
    <mergeCell ref="F46:F47"/>
    <mergeCell ref="B21:H21"/>
    <mergeCell ref="A22:H22"/>
    <mergeCell ref="A24:E24"/>
    <mergeCell ref="F24:I24"/>
    <mergeCell ref="B25:E25"/>
    <mergeCell ref="B16:E16"/>
    <mergeCell ref="B17:H17"/>
    <mergeCell ref="B18:H18"/>
    <mergeCell ref="B19:E19"/>
    <mergeCell ref="B20:E20"/>
    <mergeCell ref="B11:E11"/>
    <mergeCell ref="B12:E12"/>
    <mergeCell ref="B13:H13"/>
    <mergeCell ref="B14:E14"/>
    <mergeCell ref="B15:H15"/>
    <mergeCell ref="A1:I1"/>
    <mergeCell ref="A3:I3"/>
    <mergeCell ref="A6:I6"/>
    <mergeCell ref="F8:H8"/>
    <mergeCell ref="B10:E10"/>
    <mergeCell ref="A10:A13"/>
    <mergeCell ref="I8:I9"/>
    <mergeCell ref="A8:E9"/>
  </mergeCells>
  <pageMargins left="0.51180555555555596" right="0.51180555555555596" top="1.4479166666666701" bottom="0.78680555555555598" header="0.31388888888888899" footer="0.31388888888888899"/>
  <pageSetup paperSize="9" scale="77" orientation="portrait" r:id="rId1"/>
  <headerFooter>
    <oddHeader>&amp;C&amp;G
DEFENSORIA PÚBLICA DO ESTADO DE RORAIMA
“Amazônia: Patrimônio dos brasileiros”
____________________________________________________________________________________________________</oddHeader>
  </headerFooter>
  <colBreaks count="1" manualBreakCount="1">
    <brk id="9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6"/>
  <sheetViews>
    <sheetView view="pageBreakPreview" topLeftCell="A31" zoomScaleSheetLayoutView="100" workbookViewId="0">
      <selection activeCell="D42" sqref="D42"/>
    </sheetView>
  </sheetViews>
  <sheetFormatPr defaultColWidth="9" defaultRowHeight="15"/>
  <cols>
    <col min="1" max="1" width="9.5703125" style="1" customWidth="1"/>
    <col min="2" max="2" width="18.28515625" style="1" customWidth="1"/>
    <col min="3" max="3" width="15.140625" style="1" customWidth="1"/>
    <col min="4" max="4" width="24.7109375" style="1" customWidth="1"/>
  </cols>
  <sheetData>
    <row r="1" spans="1:4">
      <c r="A1" s="560" t="s">
        <v>865</v>
      </c>
      <c r="B1" s="560"/>
      <c r="C1" s="560"/>
      <c r="D1" s="560"/>
    </row>
    <row r="2" spans="1:4">
      <c r="A2" s="561"/>
      <c r="B2" s="562"/>
      <c r="C2" s="562"/>
      <c r="D2" s="563"/>
    </row>
    <row r="3" spans="1:4" ht="30" customHeight="1">
      <c r="A3" s="507" t="str">
        <f>'PB III - Planilha Orçamentaria'!A4:G4</f>
        <v>OBRA: REFORMA DA SEDE DA DEFENSORIA PÚBLICA DO ESTADO DE RORAIMA NO MUNICIPIO DE SÃO LUIZ DO ANAUA - DPE/RR</v>
      </c>
      <c r="B3" s="507"/>
      <c r="C3" s="507"/>
      <c r="D3" s="507"/>
    </row>
    <row r="4" spans="1:4">
      <c r="A4" s="561"/>
      <c r="B4" s="562"/>
      <c r="C4" s="562"/>
      <c r="D4" s="563"/>
    </row>
    <row r="5" spans="1:4" ht="24" customHeight="1">
      <c r="A5" s="507" t="str">
        <f>'PB III - Planilha Orçamentaria'!A6:G6</f>
        <v>ENDEREÇO: Av. Joao Rodrigues com Rua Dante de Oliveira, Cidade: São Luiz do Anaua/RR</v>
      </c>
      <c r="B5" s="507"/>
      <c r="C5" s="507"/>
      <c r="D5" s="507"/>
    </row>
    <row r="6" spans="1:4">
      <c r="A6" s="561"/>
      <c r="B6" s="562"/>
      <c r="C6" s="562"/>
      <c r="D6" s="563"/>
    </row>
    <row r="7" spans="1:4">
      <c r="A7" s="2" t="s">
        <v>5</v>
      </c>
      <c r="B7" s="3" t="s">
        <v>620</v>
      </c>
      <c r="C7" s="4" t="s">
        <v>866</v>
      </c>
      <c r="D7" s="4" t="s">
        <v>867</v>
      </c>
    </row>
    <row r="8" spans="1:4">
      <c r="A8" s="564" t="s">
        <v>868</v>
      </c>
      <c r="B8" s="564"/>
      <c r="C8" s="564"/>
      <c r="D8" s="564"/>
    </row>
    <row r="9" spans="1:4">
      <c r="A9" s="5" t="s">
        <v>869</v>
      </c>
      <c r="B9" s="6" t="s">
        <v>870</v>
      </c>
      <c r="C9" s="7">
        <v>20</v>
      </c>
      <c r="D9" s="7">
        <v>20</v>
      </c>
    </row>
    <row r="10" spans="1:4">
      <c r="A10" s="5" t="s">
        <v>871</v>
      </c>
      <c r="B10" s="6" t="s">
        <v>872</v>
      </c>
      <c r="C10" s="7">
        <v>1.5</v>
      </c>
      <c r="D10" s="7">
        <v>1.5</v>
      </c>
    </row>
    <row r="11" spans="1:4">
      <c r="A11" s="5" t="s">
        <v>873</v>
      </c>
      <c r="B11" s="6" t="s">
        <v>874</v>
      </c>
      <c r="C11" s="7">
        <v>1</v>
      </c>
      <c r="D11" s="7">
        <v>1</v>
      </c>
    </row>
    <row r="12" spans="1:4">
      <c r="A12" s="5" t="s">
        <v>875</v>
      </c>
      <c r="B12" s="6" t="s">
        <v>876</v>
      </c>
      <c r="C12" s="7">
        <v>0.2</v>
      </c>
      <c r="D12" s="7">
        <v>0.2</v>
      </c>
    </row>
    <row r="13" spans="1:4">
      <c r="A13" s="5" t="s">
        <v>877</v>
      </c>
      <c r="B13" s="6" t="s">
        <v>878</v>
      </c>
      <c r="C13" s="7">
        <v>0.6</v>
      </c>
      <c r="D13" s="7">
        <v>0.6</v>
      </c>
    </row>
    <row r="14" spans="1:4">
      <c r="A14" s="5" t="s">
        <v>879</v>
      </c>
      <c r="B14" s="6" t="s">
        <v>880</v>
      </c>
      <c r="C14" s="7">
        <v>2.5</v>
      </c>
      <c r="D14" s="7">
        <v>2.5</v>
      </c>
    </row>
    <row r="15" spans="1:4" ht="36">
      <c r="A15" s="5" t="s">
        <v>881</v>
      </c>
      <c r="B15" s="6" t="s">
        <v>882</v>
      </c>
      <c r="C15" s="7">
        <v>3</v>
      </c>
      <c r="D15" s="7">
        <v>3</v>
      </c>
    </row>
    <row r="16" spans="1:4">
      <c r="A16" s="5" t="s">
        <v>883</v>
      </c>
      <c r="B16" s="6" t="s">
        <v>884</v>
      </c>
      <c r="C16" s="7">
        <v>8</v>
      </c>
      <c r="D16" s="7">
        <v>8</v>
      </c>
    </row>
    <row r="17" spans="1:4">
      <c r="A17" s="5" t="s">
        <v>885</v>
      </c>
      <c r="B17" s="6" t="s">
        <v>886</v>
      </c>
      <c r="C17" s="7">
        <v>0</v>
      </c>
      <c r="D17" s="7">
        <v>0</v>
      </c>
    </row>
    <row r="18" spans="1:4">
      <c r="A18" s="2" t="s">
        <v>887</v>
      </c>
      <c r="B18" s="8" t="s">
        <v>366</v>
      </c>
      <c r="C18" s="9">
        <f>SUM(C9:C17)</f>
        <v>36.799999999999997</v>
      </c>
      <c r="D18" s="9">
        <f>SUM(D9:D17)</f>
        <v>36.799999999999997</v>
      </c>
    </row>
    <row r="19" spans="1:4">
      <c r="A19" s="564" t="s">
        <v>888</v>
      </c>
      <c r="B19" s="564"/>
      <c r="C19" s="564"/>
      <c r="D19" s="564"/>
    </row>
    <row r="20" spans="1:4" ht="24">
      <c r="A20" s="5" t="s">
        <v>889</v>
      </c>
      <c r="B20" s="6" t="s">
        <v>890</v>
      </c>
      <c r="C20" s="7">
        <v>18.07</v>
      </c>
      <c r="D20" s="7">
        <v>0</v>
      </c>
    </row>
    <row r="21" spans="1:4">
      <c r="A21" s="5" t="s">
        <v>891</v>
      </c>
      <c r="B21" s="6" t="s">
        <v>892</v>
      </c>
      <c r="C21" s="7">
        <v>5.08</v>
      </c>
      <c r="D21" s="7">
        <v>0</v>
      </c>
    </row>
    <row r="22" spans="1:4">
      <c r="A22" s="5" t="s">
        <v>893</v>
      </c>
      <c r="B22" s="6" t="s">
        <v>894</v>
      </c>
      <c r="C22" s="7">
        <v>0.92</v>
      </c>
      <c r="D22" s="7">
        <v>0.69</v>
      </c>
    </row>
    <row r="23" spans="1:4">
      <c r="A23" s="5" t="s">
        <v>895</v>
      </c>
      <c r="B23" s="6" t="s">
        <v>896</v>
      </c>
      <c r="C23" s="7">
        <v>10.98</v>
      </c>
      <c r="D23" s="7">
        <v>8.33</v>
      </c>
    </row>
    <row r="24" spans="1:4">
      <c r="A24" s="5" t="s">
        <v>897</v>
      </c>
      <c r="B24" s="6" t="s">
        <v>898</v>
      </c>
      <c r="C24" s="7">
        <v>0.08</v>
      </c>
      <c r="D24" s="7">
        <v>0.06</v>
      </c>
    </row>
    <row r="25" spans="1:4">
      <c r="A25" s="5" t="s">
        <v>899</v>
      </c>
      <c r="B25" s="6" t="s">
        <v>900</v>
      </c>
      <c r="C25" s="7">
        <v>0.73</v>
      </c>
      <c r="D25" s="7">
        <v>0.56000000000000005</v>
      </c>
    </row>
    <row r="26" spans="1:4">
      <c r="A26" s="5" t="s">
        <v>901</v>
      </c>
      <c r="B26" s="6" t="s">
        <v>902</v>
      </c>
      <c r="C26" s="7">
        <v>1.47</v>
      </c>
      <c r="D26" s="7">
        <v>0</v>
      </c>
    </row>
    <row r="27" spans="1:4" ht="24">
      <c r="A27" s="5" t="s">
        <v>903</v>
      </c>
      <c r="B27" s="6" t="s">
        <v>904</v>
      </c>
      <c r="C27" s="7">
        <v>0.12</v>
      </c>
      <c r="D27" s="7">
        <v>0.09</v>
      </c>
    </row>
    <row r="28" spans="1:4">
      <c r="A28" s="5" t="s">
        <v>905</v>
      </c>
      <c r="B28" s="6" t="s">
        <v>906</v>
      </c>
      <c r="C28" s="7">
        <v>9.65</v>
      </c>
      <c r="D28" s="7">
        <v>7.32</v>
      </c>
    </row>
    <row r="29" spans="1:4">
      <c r="A29" s="5" t="s">
        <v>907</v>
      </c>
      <c r="B29" s="6" t="s">
        <v>908</v>
      </c>
      <c r="C29" s="7">
        <v>0.03</v>
      </c>
      <c r="D29" s="7">
        <v>0.02</v>
      </c>
    </row>
    <row r="30" spans="1:4">
      <c r="A30" s="2" t="s">
        <v>909</v>
      </c>
      <c r="B30" s="8" t="s">
        <v>366</v>
      </c>
      <c r="C30" s="9">
        <f>SUM(C20:C29)</f>
        <v>47.13</v>
      </c>
      <c r="D30" s="9">
        <f>SUM(D20:D29)</f>
        <v>17.07</v>
      </c>
    </row>
    <row r="31" spans="1:4">
      <c r="A31" s="564" t="s">
        <v>910</v>
      </c>
      <c r="B31" s="564"/>
      <c r="C31" s="564"/>
      <c r="D31" s="564"/>
    </row>
    <row r="32" spans="1:4" ht="24">
      <c r="A32" s="5" t="s">
        <v>911</v>
      </c>
      <c r="B32" s="6" t="s">
        <v>912</v>
      </c>
      <c r="C32" s="7">
        <v>5.68</v>
      </c>
      <c r="D32" s="7">
        <v>4.3099999999999996</v>
      </c>
    </row>
    <row r="33" spans="1:4" ht="24">
      <c r="A33" s="5" t="s">
        <v>913</v>
      </c>
      <c r="B33" s="6" t="s">
        <v>914</v>
      </c>
      <c r="C33" s="7">
        <v>0.13</v>
      </c>
      <c r="D33" s="7">
        <v>0.1</v>
      </c>
    </row>
    <row r="34" spans="1:4">
      <c r="A34" s="5" t="s">
        <v>915</v>
      </c>
      <c r="B34" s="6" t="s">
        <v>916</v>
      </c>
      <c r="C34" s="7">
        <v>3.83</v>
      </c>
      <c r="D34" s="7">
        <v>2.9</v>
      </c>
    </row>
    <row r="35" spans="1:4" ht="24">
      <c r="A35" s="5" t="s">
        <v>917</v>
      </c>
      <c r="B35" s="6" t="s">
        <v>918</v>
      </c>
      <c r="C35" s="7">
        <v>4.71</v>
      </c>
      <c r="D35" s="7">
        <v>3.57</v>
      </c>
    </row>
    <row r="36" spans="1:4">
      <c r="A36" s="5" t="s">
        <v>919</v>
      </c>
      <c r="B36" s="6" t="s">
        <v>920</v>
      </c>
      <c r="C36" s="7">
        <v>0.48</v>
      </c>
      <c r="D36" s="7">
        <v>0.36</v>
      </c>
    </row>
    <row r="37" spans="1:4">
      <c r="A37" s="2" t="s">
        <v>921</v>
      </c>
      <c r="B37" s="10" t="s">
        <v>366</v>
      </c>
      <c r="C37" s="9">
        <f>SUM(C32:C36)</f>
        <v>14.83</v>
      </c>
      <c r="D37" s="9">
        <f>SUM(D32:D36)</f>
        <v>11.24</v>
      </c>
    </row>
    <row r="38" spans="1:4">
      <c r="A38" s="564" t="s">
        <v>922</v>
      </c>
      <c r="B38" s="564"/>
      <c r="C38" s="564"/>
      <c r="D38" s="564"/>
    </row>
    <row r="39" spans="1:4" ht="36">
      <c r="A39" s="5" t="s">
        <v>923</v>
      </c>
      <c r="B39" s="6" t="s">
        <v>924</v>
      </c>
      <c r="C39" s="7">
        <v>17.34</v>
      </c>
      <c r="D39" s="7">
        <v>6.28</v>
      </c>
    </row>
    <row r="40" spans="1:4" ht="72">
      <c r="A40" s="5" t="s">
        <v>925</v>
      </c>
      <c r="B40" s="6" t="s">
        <v>926</v>
      </c>
      <c r="C40" s="7">
        <v>0.5</v>
      </c>
      <c r="D40" s="7">
        <v>0.38</v>
      </c>
    </row>
    <row r="41" spans="1:4">
      <c r="A41" s="2" t="s">
        <v>927</v>
      </c>
      <c r="B41" s="8" t="s">
        <v>366</v>
      </c>
      <c r="C41" s="9">
        <f>SUM(C39:C40)</f>
        <v>17.84</v>
      </c>
      <c r="D41" s="9">
        <f>SUM(D39:D40)</f>
        <v>6.66</v>
      </c>
    </row>
    <row r="42" spans="1:4">
      <c r="A42" s="565" t="s">
        <v>928</v>
      </c>
      <c r="B42" s="565"/>
      <c r="C42" s="9">
        <f>C41+C37+C30+C18</f>
        <v>116.6</v>
      </c>
      <c r="D42" s="9">
        <f>D41+D37+D30+D18</f>
        <v>71.77</v>
      </c>
    </row>
    <row r="44" spans="1:4" ht="15" customHeight="1">
      <c r="A44" s="566" t="s">
        <v>929</v>
      </c>
      <c r="B44" s="566"/>
      <c r="C44" s="566"/>
      <c r="D44" s="566"/>
    </row>
    <row r="45" spans="1:4">
      <c r="A45" s="566"/>
      <c r="B45" s="566"/>
      <c r="C45" s="566"/>
      <c r="D45" s="566"/>
    </row>
    <row r="46" spans="1:4">
      <c r="A46" s="566"/>
      <c r="B46" s="566"/>
      <c r="C46" s="566"/>
      <c r="D46" s="566"/>
    </row>
  </sheetData>
  <mergeCells count="12">
    <mergeCell ref="A42:B42"/>
    <mergeCell ref="A44:D46"/>
    <mergeCell ref="A6:D6"/>
    <mergeCell ref="A8:D8"/>
    <mergeCell ref="A19:D19"/>
    <mergeCell ref="A31:D31"/>
    <mergeCell ref="A38:D38"/>
    <mergeCell ref="A1:D1"/>
    <mergeCell ref="A2:D2"/>
    <mergeCell ref="A3:D3"/>
    <mergeCell ref="A4:D4"/>
    <mergeCell ref="A5:D5"/>
  </mergeCells>
  <pageMargins left="0.51180555555555596" right="0.51180555555555596" top="1.8277777777777799" bottom="0.78680555555555598" header="0.31388888888888899" footer="0.31388888888888899"/>
  <pageSetup paperSize="9" scale="77" orientation="portrait" r:id="rId1"/>
  <headerFooter>
    <oddHeader>&amp;C
&amp;G
DEFENSORIA PÚBLICA DO ESTADO DE RORAIMA
“Amazônia: Patrimônio dos brasileiros”
____________________________________________________________________________________________________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13</vt:i4>
      </vt:variant>
    </vt:vector>
  </HeadingPairs>
  <TitlesOfParts>
    <vt:vector size="22" baseType="lpstr">
      <vt:lpstr>PB III - Planilha Orçamentaria</vt:lpstr>
      <vt:lpstr>PB IV - Cronograma</vt:lpstr>
      <vt:lpstr>PB V - Curva ABC</vt:lpstr>
      <vt:lpstr>PB VI - MEMÓRIA DE CÁLCULO</vt:lpstr>
      <vt:lpstr>PB VIII - Comp. Auxiliares</vt:lpstr>
      <vt:lpstr>PB VII - Cotações</vt:lpstr>
      <vt:lpstr>PB IX.A - BDI</vt:lpstr>
      <vt:lpstr>PB IX.B - BDI Diferenciado</vt:lpstr>
      <vt:lpstr>PB IX.C - Encargos Sociais</vt:lpstr>
      <vt:lpstr>'PB III - Planilha Orçamentaria'!Area_de_impressao</vt:lpstr>
      <vt:lpstr>'PB IV - Cronograma'!Area_de_impressao</vt:lpstr>
      <vt:lpstr>'PB IX.A - BDI'!Area_de_impressao</vt:lpstr>
      <vt:lpstr>'PB IX.B - BDI Diferenciado'!Area_de_impressao</vt:lpstr>
      <vt:lpstr>'PB IX.C - Encargos Sociais'!Area_de_impressao</vt:lpstr>
      <vt:lpstr>'PB V - Curva ABC'!Area_de_impressao</vt:lpstr>
      <vt:lpstr>'PB VI - MEMÓRIA DE CÁLCULO'!Area_de_impressao</vt:lpstr>
      <vt:lpstr>'PB VII - Cotações'!Area_de_impressao</vt:lpstr>
      <vt:lpstr>'PB VIII - Comp. Auxiliares'!Area_de_impressao</vt:lpstr>
      <vt:lpstr>'PB III - Planilha Orçamentaria'!Titulos_de_impressao</vt:lpstr>
      <vt:lpstr>'PB IV - Cronograma'!Titulos_de_impressao</vt:lpstr>
      <vt:lpstr>'PB VI - MEMÓRIA DE CÁLCULO'!Titulos_de_impressao</vt:lpstr>
      <vt:lpstr>'PB VIII - Comp. Auxiliares'!Titulos_de_impressao</vt:lpstr>
    </vt:vector>
  </TitlesOfParts>
  <Company>Instituto Federal de Roraima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da Silva Santos</dc:creator>
  <cp:lastModifiedBy>dpe2788</cp:lastModifiedBy>
  <cp:lastPrinted>2017-10-18T18:14:57Z</cp:lastPrinted>
  <dcterms:created xsi:type="dcterms:W3CDTF">2014-08-05T13:44:00Z</dcterms:created>
  <dcterms:modified xsi:type="dcterms:W3CDTF">2017-10-18T18:15:18Z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